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rbanism\"/>
    </mc:Choice>
  </mc:AlternateContent>
  <xr:revisionPtr revIDLastSave="0" documentId="13_ncr:1_{02873F60-C394-42E4-837E-4DE500786B85}" xr6:coauthVersionLast="47" xr6:coauthVersionMax="47" xr10:uidLastSave="{00000000-0000-0000-0000-000000000000}"/>
  <bookViews>
    <workbookView xWindow="-120" yWindow="-120" windowWidth="29040" windowHeight="15720" xr2:uid="{FEFDD235-82CE-4D9F-86D9-D9DD3DA2A29E}"/>
  </bookViews>
  <sheets>
    <sheet name="Ocjene" sheetId="1" r:id="rId1"/>
    <sheet name="Normalizirane vrijednosti" sheetId="5" r:id="rId2"/>
    <sheet name="Faktor korisničkog iskustva" sheetId="4" r:id="rId3"/>
    <sheet name="Pomoćni lis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5" i="6" l="1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B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B100" i="6"/>
  <c r="D100" i="6"/>
  <c r="E100" i="6"/>
  <c r="F100" i="6"/>
  <c r="G100" i="6"/>
  <c r="H100" i="6"/>
  <c r="I100" i="6"/>
  <c r="J100" i="6"/>
  <c r="K100" i="6"/>
  <c r="M100" i="6"/>
  <c r="N100" i="6"/>
  <c r="O100" i="6"/>
  <c r="P100" i="6"/>
  <c r="Q100" i="6"/>
  <c r="R100" i="6"/>
  <c r="T100" i="6"/>
  <c r="V100" i="6"/>
  <c r="W100" i="6"/>
  <c r="X100" i="6"/>
  <c r="Y100" i="6"/>
  <c r="Z100" i="6"/>
  <c r="AA100" i="6"/>
  <c r="AB100" i="6"/>
  <c r="AC100" i="6"/>
  <c r="AD100" i="6"/>
  <c r="P25" i="6"/>
  <c r="D25" i="6"/>
  <c r="E25" i="6"/>
  <c r="F25" i="6"/>
  <c r="G25" i="6"/>
  <c r="H25" i="6"/>
  <c r="I25" i="6"/>
  <c r="J25" i="6"/>
  <c r="K25" i="6"/>
  <c r="L25" i="6"/>
  <c r="M25" i="6"/>
  <c r="N25" i="6"/>
  <c r="O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B25" i="6"/>
  <c r="K31" i="1" a="1"/>
  <c r="I16" i="1" a="1"/>
  <c r="I13" i="1" a="1"/>
  <c r="I29" i="1" a="1"/>
  <c r="K7" i="1" a="1"/>
  <c r="F22" i="1" a="1"/>
  <c r="F21" i="1" a="1"/>
  <c r="G13" i="1" a="1"/>
  <c r="G27" i="1" a="1"/>
  <c r="I18" i="1" a="1"/>
  <c r="F16" i="1" a="1"/>
  <c r="K23" i="1" a="1"/>
  <c r="F30" i="1" a="1"/>
  <c r="K21" i="1" a="1"/>
  <c r="I32" i="1" a="1"/>
  <c r="F31" i="1" a="1"/>
  <c r="F20" i="1" a="1"/>
  <c r="I17" i="1" a="1"/>
  <c r="K27" i="1" a="1"/>
  <c r="I7" i="1" a="1"/>
  <c r="F11" i="1" a="1"/>
  <c r="K8" i="1" a="1"/>
  <c r="F8" i="1" a="1"/>
  <c r="G29" i="1" a="1"/>
  <c r="G20" i="1" a="1"/>
  <c r="G18" i="1" a="1"/>
  <c r="G15" i="1" a="1"/>
  <c r="I19" i="1" a="1"/>
  <c r="I10" i="1" a="1"/>
  <c r="F14" i="1" a="1"/>
  <c r="G10" i="1" a="1"/>
  <c r="K18" i="1" a="1"/>
  <c r="I23" i="1" a="1"/>
  <c r="F15" i="1" a="1"/>
  <c r="K24" i="1" a="1"/>
  <c r="I26" i="1" a="1"/>
  <c r="I15" i="1" a="1"/>
  <c r="I21" i="1" a="1"/>
  <c r="K6" i="1" a="1"/>
  <c r="I30" i="1" a="1"/>
  <c r="K26" i="1" a="1"/>
  <c r="K16" i="1" a="1"/>
  <c r="K13" i="1" a="1"/>
  <c r="F17" i="1" a="1"/>
  <c r="I27" i="1" a="1"/>
  <c r="G26" i="1" a="1"/>
  <c r="I31" i="1" a="1"/>
  <c r="K17" i="1" a="1"/>
  <c r="G24" i="1" a="1"/>
  <c r="K10" i="1" a="1"/>
  <c r="K32" i="1" a="1"/>
  <c r="K11" i="1" a="1"/>
  <c r="K19" i="1" a="1"/>
  <c r="G16" i="1" a="1"/>
  <c r="G6" i="1" a="1"/>
  <c r="G32" i="1" a="1"/>
  <c r="F19" i="1" a="1"/>
  <c r="F27" i="1" a="1"/>
  <c r="B6" i="5" a="1"/>
  <c r="I28" i="1" a="1"/>
  <c r="F12" i="1" a="1"/>
  <c r="F10" i="1" a="1"/>
  <c r="K9" i="1" a="1"/>
  <c r="I12" i="1" a="1"/>
  <c r="I6" i="1" a="1"/>
  <c r="I11" i="1" a="1"/>
  <c r="G21" i="1" a="1"/>
  <c r="K20" i="1" a="1"/>
  <c r="F23" i="1" a="1"/>
  <c r="G28" i="1" a="1"/>
  <c r="F13" i="1" a="1"/>
  <c r="F32" i="1" a="1"/>
  <c r="F24" i="1" a="1"/>
  <c r="G14" i="1" a="1"/>
  <c r="F9" i="1" a="1"/>
  <c r="F28" i="1" a="1"/>
  <c r="G11" i="1" a="1"/>
  <c r="G17" i="1" a="1"/>
  <c r="K28" i="1" a="1"/>
  <c r="F18" i="1" a="1"/>
  <c r="F25" i="1" a="1"/>
  <c r="I24" i="1" a="1"/>
  <c r="G25" i="1" a="1"/>
  <c r="G23" i="1" a="1"/>
  <c r="I8" i="1" a="1"/>
  <c r="G30" i="1" a="1"/>
  <c r="G9" i="1" a="1"/>
  <c r="G19" i="1" a="1"/>
  <c r="G22" i="1" a="1"/>
  <c r="I14" i="1" a="1"/>
  <c r="F29" i="1" a="1"/>
  <c r="K12" i="1" a="1"/>
  <c r="F26" i="1" a="1"/>
  <c r="K29" i="1" a="1"/>
  <c r="I25" i="1" a="1"/>
  <c r="F6" i="1" a="1"/>
  <c r="G7" i="1" a="1"/>
  <c r="F7" i="1" a="1"/>
  <c r="I22" i="1" a="1"/>
  <c r="K22" i="1" a="1"/>
  <c r="I20" i="1" a="1"/>
  <c r="G31" i="1" a="1"/>
  <c r="K14" i="1" a="1"/>
  <c r="G12" i="1" a="1"/>
  <c r="I9" i="1" a="1"/>
  <c r="G8" i="1" a="1"/>
  <c r="K25" i="1" a="1"/>
  <c r="K30" i="1" a="1"/>
  <c r="K15" i="1" a="1"/>
  <c r="G26" i="1" l="1"/>
  <c r="I25" i="1"/>
  <c r="K20" i="1"/>
  <c r="K15" i="1"/>
  <c r="K29" i="1"/>
  <c r="K11" i="1"/>
  <c r="K10" i="1"/>
  <c r="K13" i="1"/>
  <c r="K27" i="1"/>
  <c r="K26" i="1"/>
  <c r="K18" i="1"/>
  <c r="K22" i="1"/>
  <c r="K12" i="1"/>
  <c r="K9" i="1"/>
  <c r="K31" i="1"/>
  <c r="K14" i="1"/>
  <c r="K21" i="1"/>
  <c r="K28" i="1"/>
  <c r="K19" i="1"/>
  <c r="K25" i="1"/>
  <c r="K17" i="1"/>
  <c r="K23" i="1"/>
  <c r="K30" i="1"/>
  <c r="K32" i="1"/>
  <c r="K24" i="1"/>
  <c r="K16" i="1"/>
  <c r="K8" i="1"/>
  <c r="K7" i="1"/>
  <c r="K6" i="1"/>
  <c r="I15" i="1"/>
  <c r="I22" i="1"/>
  <c r="I13" i="1"/>
  <c r="I12" i="1"/>
  <c r="I14" i="1"/>
  <c r="I21" i="1"/>
  <c r="I28" i="1"/>
  <c r="I20" i="1"/>
  <c r="I30" i="1"/>
  <c r="I29" i="1"/>
  <c r="I27" i="1"/>
  <c r="I19" i="1"/>
  <c r="I11" i="1"/>
  <c r="I17" i="1"/>
  <c r="I23" i="1"/>
  <c r="I26" i="1"/>
  <c r="I18" i="1"/>
  <c r="I10" i="1"/>
  <c r="I9" i="1"/>
  <c r="I31" i="1"/>
  <c r="I32" i="1"/>
  <c r="I24" i="1"/>
  <c r="I16" i="1"/>
  <c r="I8" i="1"/>
  <c r="I7" i="1"/>
  <c r="I6" i="1"/>
  <c r="F30" i="1"/>
  <c r="F23" i="1"/>
  <c r="F22" i="1"/>
  <c r="F20" i="1"/>
  <c r="F19" i="1"/>
  <c r="F18" i="1"/>
  <c r="F10" i="1"/>
  <c r="F29" i="1"/>
  <c r="F26" i="1"/>
  <c r="F15" i="1"/>
  <c r="F13" i="1"/>
  <c r="F12" i="1"/>
  <c r="F11" i="1"/>
  <c r="F25" i="1"/>
  <c r="F9" i="1"/>
  <c r="F31" i="1"/>
  <c r="F21" i="1"/>
  <c r="F28" i="1"/>
  <c r="F17" i="1"/>
  <c r="F14" i="1"/>
  <c r="F27" i="1"/>
  <c r="F32" i="1"/>
  <c r="F24" i="1"/>
  <c r="F16" i="1"/>
  <c r="F8" i="1"/>
  <c r="F7" i="1"/>
  <c r="F6" i="1"/>
  <c r="G31" i="1"/>
  <c r="G15" i="1"/>
  <c r="G11" i="1"/>
  <c r="G23" i="1"/>
  <c r="G10" i="1"/>
  <c r="G20" i="1"/>
  <c r="G22" i="1"/>
  <c r="G21" i="1"/>
  <c r="G27" i="1"/>
  <c r="G9" i="1"/>
  <c r="G14" i="1"/>
  <c r="G29" i="1"/>
  <c r="G28" i="1"/>
  <c r="G19" i="1"/>
  <c r="G18" i="1"/>
  <c r="G25" i="1"/>
  <c r="G17" i="1"/>
  <c r="G30" i="1"/>
  <c r="G13" i="1"/>
  <c r="G12" i="1"/>
  <c r="G32" i="1"/>
  <c r="G24" i="1"/>
  <c r="G16" i="1"/>
  <c r="G8" i="1"/>
  <c r="G7" i="1"/>
  <c r="G6" i="1"/>
  <c r="B6" i="5"/>
  <c r="B7" i="5" a="1"/>
  <c r="B7" i="5" l="1"/>
  <c r="B8" i="5" a="1"/>
  <c r="B8" i="5" l="1"/>
  <c r="B9" i="5" a="1"/>
  <c r="B9" i="5" l="1"/>
  <c r="B10" i="5" a="1"/>
  <c r="B10" i="5" l="1"/>
  <c r="B11" i="5" a="1"/>
  <c r="B11" i="5" l="1"/>
  <c r="B12" i="5" a="1"/>
  <c r="B12" i="5" l="1"/>
  <c r="B13" i="5" a="1"/>
  <c r="B13" i="5" l="1"/>
  <c r="B14" i="5" a="1"/>
  <c r="B14" i="5" l="1"/>
  <c r="B15" i="5" a="1"/>
  <c r="B15" i="5" l="1"/>
  <c r="B16" i="5" a="1"/>
  <c r="B16" i="5" l="1"/>
  <c r="B17" i="5" a="1"/>
  <c r="B17" i="5" l="1"/>
  <c r="B18" i="5" a="1"/>
  <c r="B18" i="5" l="1"/>
  <c r="B19" i="5" a="1"/>
  <c r="B19" i="5" l="1"/>
  <c r="B20" i="5" a="1"/>
  <c r="B20" i="5" l="1"/>
  <c r="B21" i="5" a="1"/>
  <c r="B21" i="5" l="1"/>
  <c r="B22" i="5" a="1"/>
  <c r="B22" i="5" l="1"/>
  <c r="B23" i="5" a="1"/>
  <c r="B23" i="5" l="1"/>
  <c r="B24" i="5" a="1"/>
  <c r="B24" i="5" l="1"/>
  <c r="B25" i="5" a="1"/>
  <c r="B25" i="5" l="1"/>
  <c r="B26" i="5" a="1"/>
  <c r="B26" i="5" l="1"/>
  <c r="B27" i="5" a="1"/>
  <c r="B27" i="5" l="1"/>
  <c r="B28" i="5" a="1"/>
  <c r="B28" i="5" l="1"/>
  <c r="B29" i="5" a="1"/>
  <c r="B29" i="5" l="1"/>
  <c r="B30" i="5" a="1"/>
  <c r="B30" i="5" l="1"/>
  <c r="B31" i="5" a="1"/>
  <c r="B31" i="5" l="1"/>
  <c r="B32" i="5" a="1"/>
  <c r="B32" i="5" l="1"/>
  <c r="AB73" i="6" l="1"/>
  <c r="AB74" i="6"/>
  <c r="AB64" i="6"/>
  <c r="AB61" i="6"/>
  <c r="AB60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P19" i="6"/>
  <c r="AD73" i="6"/>
  <c r="AD71" i="6"/>
  <c r="AD64" i="6"/>
  <c r="AD60" i="6"/>
  <c r="AC74" i="6"/>
  <c r="AC73" i="6"/>
  <c r="AA71" i="6"/>
  <c r="AA60" i="6"/>
  <c r="Z73" i="6"/>
  <c r="Y74" i="6"/>
  <c r="X74" i="6"/>
  <c r="M73" i="6"/>
  <c r="T74" i="6"/>
  <c r="T60" i="6"/>
  <c r="J71" i="6"/>
  <c r="S73" i="6"/>
  <c r="U60" i="6"/>
  <c r="G60" i="6"/>
  <c r="U71" i="6"/>
  <c r="G71" i="6"/>
  <c r="R74" i="6"/>
  <c r="R71" i="6"/>
  <c r="M74" i="6"/>
  <c r="M71" i="6"/>
  <c r="Q71" i="6"/>
  <c r="K64" i="6"/>
  <c r="P64" i="6"/>
  <c r="O64" i="6"/>
  <c r="O60" i="6"/>
  <c r="M60" i="6"/>
  <c r="L74" i="6"/>
  <c r="L73" i="6"/>
  <c r="L64" i="6"/>
  <c r="L61" i="6"/>
  <c r="L60" i="6"/>
  <c r="K74" i="6"/>
  <c r="J74" i="6"/>
  <c r="J60" i="6"/>
  <c r="F74" i="6"/>
  <c r="E73" i="6"/>
  <c r="I74" i="6"/>
  <c r="I73" i="6"/>
  <c r="I60" i="6"/>
  <c r="H64" i="6"/>
  <c r="G73" i="6"/>
  <c r="E61" i="6"/>
  <c r="E60" i="6"/>
  <c r="D71" i="6"/>
  <c r="D64" i="6"/>
  <c r="D60" i="6"/>
  <c r="E74" i="6"/>
  <c r="AA74" i="6"/>
  <c r="AD74" i="6"/>
  <c r="Q74" i="6"/>
  <c r="X73" i="6"/>
  <c r="AA73" i="6"/>
  <c r="Q73" i="6"/>
  <c r="G74" i="6"/>
  <c r="O74" i="6"/>
  <c r="U74" i="6"/>
  <c r="N74" i="6"/>
  <c r="H74" i="6"/>
  <c r="W73" i="6"/>
  <c r="G61" i="6"/>
  <c r="AA64" i="6"/>
  <c r="R64" i="6"/>
  <c r="AA61" i="6"/>
  <c r="R61" i="6"/>
  <c r="X60" i="6"/>
  <c r="R60" i="6"/>
  <c r="K60" i="6"/>
  <c r="Q64" i="6"/>
  <c r="AC64" i="6"/>
  <c r="X61" i="6"/>
  <c r="Y60" i="6"/>
  <c r="Z74" i="6"/>
  <c r="P74" i="6"/>
  <c r="D74" i="6"/>
  <c r="V71" i="6"/>
  <c r="X71" i="6"/>
  <c r="Y71" i="6"/>
  <c r="Z71" i="6"/>
  <c r="I71" i="6"/>
  <c r="T64" i="6"/>
  <c r="S64" i="6"/>
  <c r="T61" i="6"/>
  <c r="Q61" i="6"/>
  <c r="S60" i="6"/>
  <c r="AC60" i="6"/>
  <c r="Z60" i="6"/>
  <c r="Q60" i="6"/>
  <c r="Y73" i="6"/>
  <c r="T73" i="6"/>
  <c r="P73" i="6"/>
  <c r="N73" i="6"/>
  <c r="J73" i="6"/>
  <c r="H73" i="6"/>
  <c r="D73" i="6"/>
  <c r="W74" i="6"/>
  <c r="AC71" i="6"/>
  <c r="AB71" i="6"/>
  <c r="T71" i="6"/>
  <c r="L71" i="6"/>
  <c r="S71" i="6"/>
  <c r="O71" i="6"/>
  <c r="N71" i="6"/>
  <c r="H71" i="6"/>
  <c r="Z64" i="6"/>
  <c r="Y64" i="6"/>
  <c r="X64" i="6"/>
  <c r="W64" i="6"/>
  <c r="V64" i="6"/>
  <c r="U64" i="6"/>
  <c r="N64" i="6"/>
  <c r="M64" i="6"/>
  <c r="J64" i="6"/>
  <c r="I64" i="6"/>
  <c r="G64" i="6"/>
  <c r="F64" i="6"/>
  <c r="E64" i="6"/>
  <c r="AD61" i="6"/>
  <c r="AC61" i="6"/>
  <c r="Y61" i="6"/>
  <c r="W61" i="6"/>
  <c r="U61" i="6"/>
  <c r="S61" i="6"/>
  <c r="P61" i="6"/>
  <c r="N61" i="6"/>
  <c r="M61" i="6"/>
  <c r="K61" i="6"/>
  <c r="J61" i="6"/>
  <c r="I61" i="6"/>
  <c r="H61" i="6"/>
  <c r="D61" i="6"/>
  <c r="W60" i="6"/>
  <c r="V60" i="6"/>
  <c r="P60" i="6"/>
  <c r="N60" i="6"/>
  <c r="H60" i="6"/>
  <c r="F60" i="6"/>
  <c r="F71" i="6"/>
  <c r="F61" i="6"/>
  <c r="E71" i="6"/>
  <c r="F73" i="6"/>
  <c r="B77" i="6"/>
  <c r="AD44" i="6"/>
  <c r="AA44" i="6"/>
  <c r="Z44" i="6"/>
  <c r="V44" i="6"/>
  <c r="U44" i="6"/>
  <c r="S44" i="6"/>
  <c r="Q44" i="6"/>
  <c r="M44" i="6"/>
  <c r="E44" i="6"/>
  <c r="L12" i="1" a="1"/>
  <c r="L9" i="1" a="1"/>
  <c r="L26" i="1" a="1"/>
  <c r="L28" i="1" a="1"/>
  <c r="L18" i="1" a="1"/>
  <c r="L15" i="1" a="1"/>
  <c r="L7" i="1" a="1"/>
  <c r="L14" i="1" a="1"/>
  <c r="L16" i="1" a="1"/>
  <c r="L10" i="1" a="1"/>
  <c r="L22" i="1" a="1"/>
  <c r="L24" i="1" a="1"/>
  <c r="L13" i="1" a="1"/>
  <c r="L25" i="1" a="1"/>
  <c r="L20" i="1" a="1"/>
  <c r="L19" i="1" a="1"/>
  <c r="L11" i="1" a="1"/>
  <c r="L21" i="1" a="1"/>
  <c r="L23" i="1" a="1"/>
  <c r="L29" i="1" a="1"/>
  <c r="L32" i="1" a="1"/>
  <c r="L31" i="1" a="1"/>
  <c r="L17" i="1" a="1"/>
  <c r="L30" i="1" a="1"/>
  <c r="L8" i="1" a="1"/>
  <c r="L27" i="1" a="1"/>
  <c r="L15" i="1" l="1"/>
  <c r="L31" i="1"/>
  <c r="L30" i="1"/>
  <c r="L14" i="1"/>
  <c r="L29" i="1"/>
  <c r="L13" i="1"/>
  <c r="L10" i="1"/>
  <c r="L25" i="1"/>
  <c r="L9" i="1"/>
  <c r="L16" i="1"/>
  <c r="L28" i="1"/>
  <c r="L24" i="1"/>
  <c r="L8" i="1"/>
  <c r="L32" i="1"/>
  <c r="L23" i="1"/>
  <c r="L7" i="1"/>
  <c r="L26" i="1"/>
  <c r="L22" i="1"/>
  <c r="L12" i="1"/>
  <c r="L21" i="1"/>
  <c r="L11" i="1"/>
  <c r="L20" i="1"/>
  <c r="L27" i="1"/>
  <c r="L19" i="1"/>
  <c r="L17" i="1"/>
  <c r="L18" i="1"/>
  <c r="O77" i="6"/>
  <c r="Q77" i="6"/>
  <c r="R77" i="6"/>
  <c r="Z77" i="6"/>
  <c r="AA77" i="6"/>
  <c r="H77" i="6"/>
  <c r="Y77" i="6"/>
  <c r="AC77" i="6"/>
  <c r="V77" i="6"/>
  <c r="W77" i="6"/>
  <c r="N77" i="6"/>
  <c r="S77" i="6"/>
  <c r="K77" i="6"/>
  <c r="X77" i="6"/>
  <c r="T77" i="6"/>
  <c r="P77" i="6"/>
  <c r="L77" i="6"/>
  <c r="E77" i="6"/>
  <c r="M77" i="6"/>
  <c r="F77" i="6"/>
  <c r="J77" i="6"/>
  <c r="G77" i="6"/>
  <c r="AD77" i="6"/>
  <c r="AB77" i="6"/>
  <c r="U77" i="6"/>
  <c r="I77" i="6"/>
  <c r="D77" i="6"/>
  <c r="H48" i="6"/>
  <c r="AD49" i="6"/>
  <c r="AD48" i="6"/>
  <c r="AD47" i="6"/>
  <c r="AD46" i="6"/>
  <c r="AD45" i="6"/>
  <c r="AD43" i="6"/>
  <c r="AC46" i="6"/>
  <c r="AC45" i="6"/>
  <c r="AC49" i="6"/>
  <c r="AC48" i="6"/>
  <c r="AC47" i="6"/>
  <c r="AC44" i="6"/>
  <c r="AC43" i="6"/>
  <c r="M46" i="6"/>
  <c r="AB49" i="6"/>
  <c r="AB48" i="6"/>
  <c r="AB47" i="6"/>
  <c r="AB46" i="6"/>
  <c r="AB45" i="6"/>
  <c r="AB44" i="6"/>
  <c r="AB43" i="6"/>
  <c r="AA49" i="6"/>
  <c r="AA48" i="6"/>
  <c r="AA47" i="6"/>
  <c r="AA46" i="6"/>
  <c r="AA45" i="6"/>
  <c r="AA43" i="6"/>
  <c r="V49" i="6"/>
  <c r="Z49" i="6"/>
  <c r="Z48" i="6"/>
  <c r="Z47" i="6"/>
  <c r="Z46" i="6"/>
  <c r="Z43" i="6"/>
  <c r="Y49" i="6"/>
  <c r="Y48" i="6"/>
  <c r="Y47" i="6"/>
  <c r="Y46" i="6"/>
  <c r="Y45" i="6"/>
  <c r="Y44" i="6"/>
  <c r="X49" i="6"/>
  <c r="X48" i="6"/>
  <c r="X47" i="6"/>
  <c r="X46" i="6"/>
  <c r="X45" i="6"/>
  <c r="X44" i="6"/>
  <c r="X43" i="6"/>
  <c r="W49" i="6"/>
  <c r="W48" i="6"/>
  <c r="W47" i="6"/>
  <c r="W46" i="6"/>
  <c r="W45" i="6"/>
  <c r="W44" i="6"/>
  <c r="W43" i="6"/>
  <c r="V48" i="6"/>
  <c r="V47" i="6"/>
  <c r="V46" i="6"/>
  <c r="V45" i="6"/>
  <c r="V43" i="6"/>
  <c r="U49" i="6"/>
  <c r="U48" i="6"/>
  <c r="U47" i="6"/>
  <c r="U46" i="6"/>
  <c r="U45" i="6"/>
  <c r="U43" i="6"/>
  <c r="T49" i="6"/>
  <c r="T48" i="6"/>
  <c r="T47" i="6"/>
  <c r="T45" i="6"/>
  <c r="T44" i="6"/>
  <c r="T43" i="6"/>
  <c r="S49" i="6"/>
  <c r="S48" i="6"/>
  <c r="S47" i="6"/>
  <c r="S46" i="6"/>
  <c r="S45" i="6"/>
  <c r="S43" i="6"/>
  <c r="R49" i="6"/>
  <c r="R48" i="6"/>
  <c r="R47" i="6"/>
  <c r="R46" i="6"/>
  <c r="R45" i="6"/>
  <c r="R44" i="6"/>
  <c r="R43" i="6"/>
  <c r="Q49" i="6"/>
  <c r="Q48" i="6"/>
  <c r="Q47" i="6"/>
  <c r="Q46" i="6"/>
  <c r="Q45" i="6"/>
  <c r="Q43" i="6"/>
  <c r="P49" i="6"/>
  <c r="P48" i="6"/>
  <c r="P47" i="6"/>
  <c r="P46" i="6"/>
  <c r="P45" i="6"/>
  <c r="P44" i="6"/>
  <c r="P43" i="6"/>
  <c r="O49" i="6"/>
  <c r="O48" i="6"/>
  <c r="O47" i="6"/>
  <c r="O46" i="6"/>
  <c r="O45" i="6"/>
  <c r="O44" i="6"/>
  <c r="O43" i="6"/>
  <c r="N49" i="6"/>
  <c r="N48" i="6"/>
  <c r="N47" i="6"/>
  <c r="N46" i="6"/>
  <c r="N45" i="6"/>
  <c r="N44" i="6"/>
  <c r="N43" i="6"/>
  <c r="M49" i="6"/>
  <c r="M48" i="6"/>
  <c r="M47" i="6"/>
  <c r="M45" i="6"/>
  <c r="M43" i="6"/>
  <c r="L49" i="6"/>
  <c r="L48" i="6"/>
  <c r="L47" i="6"/>
  <c r="L46" i="6"/>
  <c r="L44" i="6"/>
  <c r="L43" i="6"/>
  <c r="K49" i="6"/>
  <c r="K48" i="6"/>
  <c r="K47" i="6"/>
  <c r="K46" i="6"/>
  <c r="K45" i="6"/>
  <c r="K43" i="6"/>
  <c r="J49" i="6"/>
  <c r="J48" i="6"/>
  <c r="J47" i="6"/>
  <c r="J46" i="6"/>
  <c r="J45" i="6"/>
  <c r="J44" i="6"/>
  <c r="J43" i="6"/>
  <c r="I49" i="6"/>
  <c r="I48" i="6"/>
  <c r="I47" i="6"/>
  <c r="I46" i="6"/>
  <c r="I45" i="6"/>
  <c r="I44" i="6"/>
  <c r="I43" i="6"/>
  <c r="H49" i="6"/>
  <c r="H47" i="6"/>
  <c r="H46" i="6"/>
  <c r="H45" i="6"/>
  <c r="H44" i="6"/>
  <c r="H43" i="6"/>
  <c r="G49" i="6"/>
  <c r="G48" i="6"/>
  <c r="G47" i="6"/>
  <c r="G46" i="6"/>
  <c r="G45" i="6"/>
  <c r="G44" i="6"/>
  <c r="G43" i="6"/>
  <c r="F49" i="6"/>
  <c r="F48" i="6"/>
  <c r="F47" i="6"/>
  <c r="F46" i="6"/>
  <c r="F45" i="6"/>
  <c r="F44" i="6"/>
  <c r="F43" i="6"/>
  <c r="E49" i="6"/>
  <c r="E48" i="6"/>
  <c r="E47" i="6"/>
  <c r="E46" i="6"/>
  <c r="E45" i="6"/>
  <c r="E43" i="6"/>
  <c r="D49" i="6"/>
  <c r="D48" i="6"/>
  <c r="D47" i="6"/>
  <c r="T46" i="6"/>
  <c r="D46" i="6"/>
  <c r="Z45" i="6"/>
  <c r="D45" i="6"/>
  <c r="K44" i="6"/>
  <c r="D44" i="6"/>
  <c r="Y43" i="6"/>
  <c r="D43" i="6"/>
  <c r="B50" i="6"/>
  <c r="D39" i="6"/>
  <c r="B39" i="6"/>
  <c r="AD19" i="6"/>
  <c r="AC19" i="6"/>
  <c r="AB19" i="6"/>
  <c r="AA19" i="6"/>
  <c r="Z19" i="6"/>
  <c r="Y19" i="6"/>
  <c r="X19" i="6"/>
  <c r="W19" i="6"/>
  <c r="V19" i="6"/>
  <c r="E19" i="6"/>
  <c r="F19" i="6"/>
  <c r="G19" i="6"/>
  <c r="H19" i="6"/>
  <c r="I19" i="6"/>
  <c r="J19" i="6"/>
  <c r="K19" i="6"/>
  <c r="L19" i="6"/>
  <c r="M19" i="6"/>
  <c r="N19" i="6"/>
  <c r="O19" i="6"/>
  <c r="Q19" i="6"/>
  <c r="R19" i="6"/>
  <c r="S19" i="6"/>
  <c r="T19" i="6"/>
  <c r="U19" i="6"/>
  <c r="D19" i="6"/>
  <c r="B19" i="6"/>
  <c r="E21" i="1" a="1"/>
  <c r="E27" i="1" a="1"/>
  <c r="E18" i="1" a="1"/>
  <c r="E24" i="1" a="1"/>
  <c r="E16" i="1" a="1"/>
  <c r="E13" i="1" a="1"/>
  <c r="E22" i="1" a="1"/>
  <c r="E28" i="1" a="1"/>
  <c r="E32" i="1" a="1"/>
  <c r="E8" i="1" a="1"/>
  <c r="E20" i="1" a="1"/>
  <c r="E9" i="1" a="1"/>
  <c r="E15" i="1" a="1"/>
  <c r="E26" i="1" a="1"/>
  <c r="E11" i="1" a="1"/>
  <c r="E23" i="1" a="1"/>
  <c r="E29" i="1" a="1"/>
  <c r="E6" i="1" a="1"/>
  <c r="E31" i="1" a="1"/>
  <c r="E19" i="1" a="1"/>
  <c r="E17" i="1" a="1"/>
  <c r="E12" i="1" a="1"/>
  <c r="E10" i="1" a="1"/>
  <c r="E30" i="1" a="1"/>
  <c r="E14" i="1" a="1"/>
  <c r="L6" i="1" a="1"/>
  <c r="E7" i="1" a="1"/>
  <c r="E25" i="1" a="1"/>
  <c r="E9" i="1" l="1"/>
  <c r="E18" i="1"/>
  <c r="E26" i="1"/>
  <c r="E15" i="1"/>
  <c r="E19" i="1"/>
  <c r="E13" i="1"/>
  <c r="E29" i="1"/>
  <c r="E20" i="1"/>
  <c r="E21" i="1"/>
  <c r="L6" i="1"/>
  <c r="E22" i="1"/>
  <c r="E6" i="1"/>
  <c r="E16" i="1"/>
  <c r="E17" i="1"/>
  <c r="E11" i="1"/>
  <c r="E25" i="1"/>
  <c r="E10" i="1"/>
  <c r="E14" i="1"/>
  <c r="E23" i="1"/>
  <c r="E24" i="1"/>
  <c r="E12" i="1"/>
  <c r="E8" i="1"/>
  <c r="E7" i="1"/>
  <c r="E30" i="1"/>
  <c r="E31" i="1"/>
  <c r="E28" i="1"/>
  <c r="E32" i="1"/>
  <c r="E27" i="1"/>
  <c r="AD50" i="6"/>
  <c r="T50" i="6"/>
  <c r="N50" i="6"/>
  <c r="X50" i="6"/>
  <c r="AC50" i="6"/>
  <c r="S50" i="6"/>
  <c r="R50" i="6"/>
  <c r="Q50" i="6"/>
  <c r="P50" i="6"/>
  <c r="O50" i="6"/>
  <c r="M50" i="6"/>
  <c r="H50" i="6"/>
  <c r="U50" i="6"/>
  <c r="I50" i="6"/>
  <c r="AB50" i="6"/>
  <c r="Y50" i="6"/>
  <c r="L50" i="6"/>
  <c r="K50" i="6"/>
  <c r="Z50" i="6"/>
  <c r="F50" i="6"/>
  <c r="V50" i="6"/>
  <c r="J50" i="6"/>
  <c r="AA50" i="6"/>
  <c r="G50" i="6"/>
  <c r="W50" i="6"/>
  <c r="E50" i="6"/>
  <c r="D50" i="6"/>
  <c r="C20" i="1" a="1"/>
  <c r="C27" i="1" a="1"/>
  <c r="D17" i="1" a="1"/>
  <c r="D8" i="1" a="1"/>
  <c r="D9" i="1" a="1"/>
  <c r="C17" i="1" a="1"/>
  <c r="C29" i="1" a="1"/>
  <c r="D29" i="1" a="1"/>
  <c r="D20" i="1" a="1"/>
  <c r="D11" i="1" a="1"/>
  <c r="C9" i="1" a="1"/>
  <c r="D26" i="1" a="1"/>
  <c r="D22" i="1" a="1"/>
  <c r="D23" i="1" a="1"/>
  <c r="C30" i="1" a="1"/>
  <c r="D14" i="1" a="1"/>
  <c r="D10" i="1" a="1"/>
  <c r="C6" i="1" a="1"/>
  <c r="C26" i="1" a="1"/>
  <c r="C24" i="1" a="1"/>
  <c r="C14" i="1" a="1"/>
  <c r="D25" i="1" a="1"/>
  <c r="C19" i="1" a="1"/>
  <c r="D6" i="1" a="1"/>
  <c r="D15" i="1" a="1"/>
  <c r="C16" i="1" a="1"/>
  <c r="D19" i="1" a="1"/>
  <c r="C11" i="1" a="1"/>
  <c r="D13" i="1" a="1"/>
  <c r="C7" i="1" a="1"/>
  <c r="D27" i="1" a="1"/>
  <c r="C23" i="1" a="1"/>
  <c r="C28" i="1" a="1"/>
  <c r="D12" i="1" a="1"/>
  <c r="C8" i="1" a="1"/>
  <c r="D31" i="1" a="1"/>
  <c r="C13" i="1" a="1"/>
  <c r="C12" i="1" a="1"/>
  <c r="D16" i="1" a="1"/>
  <c r="D24" i="1" a="1"/>
  <c r="C25" i="1" a="1"/>
  <c r="C22" i="1" a="1"/>
  <c r="D30" i="1" a="1"/>
  <c r="D32" i="1" a="1"/>
  <c r="D7" i="1" a="1"/>
  <c r="C21" i="1" a="1"/>
  <c r="C32" i="1" a="1"/>
  <c r="C31" i="1" a="1"/>
  <c r="C18" i="1" a="1"/>
  <c r="C10" i="1" a="1"/>
  <c r="D21" i="1" a="1"/>
  <c r="D28" i="1" a="1"/>
  <c r="C15" i="1" a="1"/>
  <c r="D18" i="1" a="1"/>
  <c r="D13" i="1" l="1"/>
  <c r="D6" i="1"/>
  <c r="D7" i="1"/>
  <c r="D28" i="1"/>
  <c r="D16" i="1"/>
  <c r="D22" i="1"/>
  <c r="D32" i="1"/>
  <c r="D23" i="1"/>
  <c r="D8" i="1"/>
  <c r="D11" i="1"/>
  <c r="D17" i="1"/>
  <c r="D18" i="1"/>
  <c r="D9" i="1"/>
  <c r="D20" i="1"/>
  <c r="D14" i="1"/>
  <c r="D30" i="1"/>
  <c r="D15" i="1"/>
  <c r="D12" i="1"/>
  <c r="D26" i="1"/>
  <c r="D27" i="1"/>
  <c r="D10" i="1"/>
  <c r="D25" i="1"/>
  <c r="D19" i="1"/>
  <c r="D29" i="1"/>
  <c r="D21" i="1"/>
  <c r="D24" i="1"/>
  <c r="D31" i="1"/>
  <c r="C16" i="1"/>
  <c r="C8" i="1"/>
  <c r="N8" i="1" s="1"/>
  <c r="C27" i="1"/>
  <c r="C9" i="1"/>
  <c r="C14" i="1"/>
  <c r="C29" i="1"/>
  <c r="C20" i="1"/>
  <c r="C11" i="1"/>
  <c r="C10" i="1"/>
  <c r="C31" i="1"/>
  <c r="C19" i="1"/>
  <c r="C18" i="1"/>
  <c r="C24" i="1"/>
  <c r="C12" i="1"/>
  <c r="C30" i="1"/>
  <c r="C23" i="1"/>
  <c r="C26" i="1"/>
  <c r="C17" i="1"/>
  <c r="C6" i="1"/>
  <c r="C32" i="1"/>
  <c r="C25" i="1"/>
  <c r="C13" i="1"/>
  <c r="N13" i="1" s="1"/>
  <c r="C15" i="1"/>
  <c r="C7" i="1"/>
  <c r="C28" i="1"/>
  <c r="C22" i="1"/>
  <c r="C21" i="1"/>
  <c r="C20" i="5" a="1"/>
  <c r="C26" i="5" a="1"/>
  <c r="E11" i="5" a="1"/>
  <c r="D13" i="5" a="1"/>
  <c r="D8" i="5" a="1"/>
  <c r="E22" i="5" a="1"/>
  <c r="D11" i="5" a="1"/>
  <c r="E6" i="5" a="1"/>
  <c r="D25" i="5" a="1"/>
  <c r="E25" i="5" a="1"/>
  <c r="D22" i="5" a="1"/>
  <c r="E19" i="5" a="1"/>
  <c r="E17" i="5" a="1"/>
  <c r="D28" i="5" a="1"/>
  <c r="D16" i="5" a="1"/>
  <c r="E9" i="5" a="1"/>
  <c r="C14" i="5" a="1"/>
  <c r="D31" i="5" a="1"/>
  <c r="C30" i="5" a="1"/>
  <c r="C17" i="5" a="1"/>
  <c r="E16" i="5" a="1"/>
  <c r="E28" i="5" a="1"/>
  <c r="E27" i="5" a="1"/>
  <c r="D10" i="5" a="1"/>
  <c r="E20" i="5" a="1"/>
  <c r="D27" i="5" a="1"/>
  <c r="E29" i="5" a="1"/>
  <c r="C19" i="5" a="1"/>
  <c r="E10" i="5" a="1"/>
  <c r="C23" i="5" a="1"/>
  <c r="E26" i="5" a="1"/>
  <c r="E14" i="5" a="1"/>
  <c r="E31" i="5" a="1"/>
  <c r="D12" i="5" a="1"/>
  <c r="D15" i="5" a="1"/>
  <c r="C29" i="5" a="1"/>
  <c r="E8" i="5" a="1"/>
  <c r="E7" i="5" a="1"/>
  <c r="D18" i="5" a="1"/>
  <c r="D26" i="5" a="1"/>
  <c r="E23" i="5" a="1"/>
  <c r="E18" i="5" a="1"/>
  <c r="C24" i="5" a="1"/>
  <c r="C12" i="5" a="1"/>
  <c r="E32" i="5" a="1"/>
  <c r="E13" i="5" a="1"/>
  <c r="C22" i="5" a="1"/>
  <c r="D29" i="5" a="1"/>
  <c r="E12" i="5" a="1"/>
  <c r="E21" i="5" a="1"/>
  <c r="E15" i="5" a="1"/>
  <c r="C10" i="5" a="1"/>
  <c r="C28" i="5" a="1"/>
  <c r="D17" i="5" a="1"/>
  <c r="C16" i="5" a="1"/>
  <c r="E30" i="5" a="1"/>
  <c r="C31" i="5" a="1"/>
  <c r="D6" i="5" a="1"/>
  <c r="C15" i="5" a="1"/>
  <c r="C11" i="5" a="1"/>
  <c r="C7" i="5" a="1"/>
  <c r="C25" i="5" a="1"/>
  <c r="D7" i="5" a="1"/>
  <c r="D14" i="5" a="1"/>
  <c r="C18" i="5" a="1"/>
  <c r="D23" i="5" a="1"/>
  <c r="D21" i="5" a="1"/>
  <c r="D20" i="5" a="1"/>
  <c r="C27" i="5" a="1"/>
  <c r="C6" i="5" a="1"/>
  <c r="D30" i="5" a="1"/>
  <c r="D9" i="5" a="1"/>
  <c r="N16" i="1" l="1"/>
  <c r="N25" i="1"/>
  <c r="N32" i="1"/>
  <c r="N9" i="1"/>
  <c r="N23" i="1"/>
  <c r="N7" i="1"/>
  <c r="N17" i="1"/>
  <c r="N6" i="1"/>
  <c r="N27" i="1"/>
  <c r="N15" i="1"/>
  <c r="N14" i="1"/>
  <c r="N12" i="1"/>
  <c r="N26" i="1"/>
  <c r="N28" i="1"/>
  <c r="N18" i="1"/>
  <c r="N22" i="1"/>
  <c r="N24" i="1"/>
  <c r="N19" i="1"/>
  <c r="N10" i="1"/>
  <c r="N30" i="1"/>
  <c r="N11" i="1"/>
  <c r="N21" i="1"/>
  <c r="N20" i="1"/>
  <c r="N31" i="1"/>
  <c r="N29" i="1"/>
  <c r="E21" i="5"/>
  <c r="C30" i="5"/>
  <c r="E27" i="5"/>
  <c r="C10" i="5"/>
  <c r="C11" i="5"/>
  <c r="E31" i="5"/>
  <c r="E20" i="5"/>
  <c r="E23" i="5"/>
  <c r="E29" i="5"/>
  <c r="C16" i="5"/>
  <c r="E25" i="5"/>
  <c r="E26" i="5"/>
  <c r="E7" i="5"/>
  <c r="C22" i="5"/>
  <c r="C6" i="5"/>
  <c r="E15" i="5"/>
  <c r="C19" i="5"/>
  <c r="E8" i="5"/>
  <c r="C27" i="5"/>
  <c r="E22" i="5"/>
  <c r="E11" i="5"/>
  <c r="E18" i="5"/>
  <c r="C26" i="5"/>
  <c r="C12" i="5"/>
  <c r="E28" i="5"/>
  <c r="C28" i="5"/>
  <c r="C7" i="5"/>
  <c r="C25" i="5"/>
  <c r="E14" i="5"/>
  <c r="E32" i="5"/>
  <c r="E16" i="5"/>
  <c r="C23" i="5"/>
  <c r="E17" i="5"/>
  <c r="E12" i="5"/>
  <c r="E10" i="5"/>
  <c r="C20" i="5"/>
  <c r="E13" i="5"/>
  <c r="C15" i="5"/>
  <c r="C17" i="5"/>
  <c r="E30" i="5"/>
  <c r="E19" i="5"/>
  <c r="C18" i="5"/>
  <c r="C31" i="5"/>
  <c r="E6" i="5"/>
  <c r="C29" i="5"/>
  <c r="C14" i="5"/>
  <c r="E9" i="5"/>
  <c r="D17" i="5"/>
  <c r="D21" i="5"/>
  <c r="D31" i="5"/>
  <c r="D22" i="5"/>
  <c r="D7" i="5"/>
  <c r="D14" i="5"/>
  <c r="D27" i="5"/>
  <c r="D20" i="5"/>
  <c r="D11" i="5"/>
  <c r="D29" i="5"/>
  <c r="D28" i="5"/>
  <c r="D9" i="5"/>
  <c r="D23" i="5"/>
  <c r="D15" i="5"/>
  <c r="D18" i="5"/>
  <c r="D8" i="5"/>
  <c r="D30" i="5"/>
  <c r="D16" i="5"/>
  <c r="D26" i="5"/>
  <c r="D25" i="5"/>
  <c r="D12" i="5"/>
  <c r="D13" i="5"/>
  <c r="D10" i="5"/>
  <c r="C24" i="5"/>
  <c r="D6" i="5"/>
  <c r="E24" i="5" a="1"/>
  <c r="C9" i="5" a="1"/>
  <c r="C13" i="5" a="1"/>
  <c r="C21" i="5" a="1"/>
  <c r="C32" i="5" a="1"/>
  <c r="C8" i="5" a="1"/>
  <c r="D24" i="5" a="1"/>
  <c r="D19" i="5" a="1"/>
  <c r="D32" i="5" a="1"/>
  <c r="C13" i="5" l="1"/>
  <c r="C8" i="5"/>
  <c r="C32" i="5"/>
  <c r="C9" i="5"/>
  <c r="O19" i="1"/>
  <c r="O29" i="1"/>
  <c r="O11" i="1"/>
  <c r="O20" i="1"/>
  <c r="O10" i="1"/>
  <c r="O21" i="1"/>
  <c r="O31" i="1"/>
  <c r="O23" i="1"/>
  <c r="O25" i="1"/>
  <c r="O7" i="1"/>
  <c r="O24" i="1"/>
  <c r="O30" i="1"/>
  <c r="O8" i="1"/>
  <c r="O27" i="1"/>
  <c r="O6" i="1"/>
  <c r="O22" i="1"/>
  <c r="O32" i="1"/>
  <c r="O9" i="1"/>
  <c r="O16" i="1"/>
  <c r="O18" i="1"/>
  <c r="O12" i="1"/>
  <c r="O28" i="1"/>
  <c r="O26" i="1"/>
  <c r="O14" i="1"/>
  <c r="O17" i="1"/>
  <c r="O15" i="1"/>
  <c r="O13" i="1"/>
  <c r="C21" i="5"/>
  <c r="E24" i="5"/>
  <c r="D32" i="5"/>
  <c r="D19" i="5"/>
  <c r="D24" i="5"/>
  <c r="F10" i="5" a="1"/>
  <c r="F10" i="5" l="1"/>
  <c r="F8" i="5" a="1"/>
  <c r="F8" i="5" l="1"/>
  <c r="F20" i="5" a="1"/>
  <c r="F20" i="5" l="1"/>
  <c r="F17" i="5" a="1"/>
  <c r="F17" i="5" l="1"/>
  <c r="F28" i="5" a="1"/>
  <c r="F28" i="5" l="1"/>
  <c r="F31" i="5" a="1"/>
  <c r="F31" i="5" l="1"/>
  <c r="F12" i="5" a="1"/>
  <c r="F12" i="5" l="1"/>
  <c r="F32" i="5" a="1"/>
  <c r="F32" i="5" l="1"/>
  <c r="F16" i="5" a="1"/>
  <c r="F16" i="5" l="1"/>
  <c r="F15" i="5" a="1"/>
  <c r="F15" i="5" l="1"/>
  <c r="F11" i="5" a="1"/>
  <c r="F11" i="5" l="1"/>
  <c r="F14" i="5" a="1"/>
  <c r="F14" i="5" l="1"/>
  <c r="F26" i="5" a="1"/>
  <c r="F26" i="5" l="1"/>
  <c r="F23" i="5" a="1"/>
  <c r="F23" i="5" l="1"/>
  <c r="F13" i="5" a="1"/>
  <c r="F13" i="5" l="1"/>
  <c r="F30" i="5" a="1"/>
  <c r="F30" i="5" l="1"/>
  <c r="F6" i="5" a="1"/>
  <c r="F6" i="5" l="1"/>
  <c r="F22" i="5" a="1"/>
  <c r="F22" i="5" l="1"/>
  <c r="F19" i="5" a="1"/>
  <c r="F19" i="5" l="1"/>
  <c r="F27" i="5" a="1"/>
  <c r="F27" i="5" l="1"/>
  <c r="F29" i="5" a="1"/>
  <c r="F29" i="5" l="1"/>
  <c r="F25" i="5" a="1"/>
  <c r="F25" i="5" l="1"/>
  <c r="F7" i="5" a="1"/>
  <c r="F7" i="5" l="1"/>
  <c r="F18" i="5" a="1"/>
  <c r="F18" i="5" l="1"/>
  <c r="F21" i="5" a="1"/>
  <c r="F21" i="5" l="1"/>
  <c r="F9" i="5" a="1"/>
  <c r="F9" i="5" l="1"/>
  <c r="F24" i="5" a="1"/>
  <c r="F24" i="5" l="1"/>
  <c r="M19" i="5" a="1"/>
  <c r="M19" i="5" l="1"/>
  <c r="M22" i="5" a="1"/>
  <c r="M22" i="5" l="1"/>
  <c r="M15" i="5" a="1"/>
  <c r="M15" i="5" l="1"/>
  <c r="M16" i="5" a="1"/>
  <c r="M16" i="5" l="1"/>
  <c r="M29" i="5" a="1"/>
  <c r="M29" i="5" l="1"/>
  <c r="M23" i="5" a="1"/>
  <c r="M23" i="5" l="1"/>
  <c r="M28" i="5" a="1"/>
  <c r="M28" i="5" l="1"/>
  <c r="M18" i="5" a="1"/>
  <c r="M18" i="5" l="1"/>
  <c r="M25" i="5" a="1"/>
  <c r="M25" i="5" l="1"/>
  <c r="M6" i="5" a="1"/>
  <c r="M6" i="5" l="1"/>
  <c r="M7" i="5" a="1"/>
  <c r="M7" i="5" l="1"/>
  <c r="M31" i="5" a="1"/>
  <c r="M31" i="5" l="1"/>
  <c r="M12" i="5" a="1"/>
  <c r="M12" i="5" l="1"/>
  <c r="M21" i="5" a="1"/>
  <c r="M21" i="5" l="1"/>
  <c r="M20" i="5" a="1"/>
  <c r="M20" i="5" l="1"/>
  <c r="M13" i="5" a="1"/>
  <c r="M13" i="5" l="1"/>
  <c r="M27" i="5" a="1"/>
  <c r="M27" i="5" l="1"/>
  <c r="M8" i="5" a="1"/>
  <c r="M8" i="5" l="1"/>
  <c r="M10" i="5" a="1"/>
  <c r="M10" i="5" l="1"/>
  <c r="M24" i="5" a="1"/>
  <c r="M24" i="5" l="1"/>
  <c r="M26" i="5" a="1"/>
  <c r="M26" i="5" l="1"/>
  <c r="M9" i="5" a="1"/>
  <c r="M9" i="5" l="1"/>
  <c r="M32" i="5" a="1"/>
  <c r="M32" i="5" l="1"/>
  <c r="M30" i="5" a="1"/>
  <c r="M30" i="5" l="1"/>
  <c r="M17" i="5" a="1"/>
  <c r="M17" i="5" l="1"/>
  <c r="M14" i="5" a="1"/>
  <c r="M14" i="5" l="1"/>
  <c r="K7" i="5" a="1"/>
  <c r="K7" i="5" l="1"/>
  <c r="L6" i="5" a="1"/>
  <c r="L6" i="5" l="1"/>
  <c r="K16" i="5" a="1"/>
  <c r="K16" i="5" l="1"/>
  <c r="K23" i="5" a="1"/>
  <c r="K23" i="5" l="1"/>
  <c r="K27" i="5" a="1"/>
  <c r="K27" i="5" l="1"/>
  <c r="K12" i="5" a="1"/>
  <c r="K12" i="5" l="1"/>
  <c r="K6" i="5" a="1"/>
  <c r="K6" i="5" l="1"/>
  <c r="K21" i="5" a="1"/>
  <c r="K21" i="5" l="1"/>
  <c r="L9" i="5" a="1"/>
  <c r="L9" i="5" l="1"/>
  <c r="L23" i="5" a="1"/>
  <c r="L23" i="5" l="1"/>
  <c r="L16" i="5" a="1"/>
  <c r="L16" i="5" l="1"/>
  <c r="L28" i="5" a="1"/>
  <c r="L28" i="5" l="1"/>
  <c r="L25" i="5" a="1"/>
  <c r="L25" i="5" l="1"/>
  <c r="K10" i="5" a="1"/>
  <c r="K10" i="5" l="1"/>
  <c r="K28" i="5" a="1"/>
  <c r="K28" i="5" l="1"/>
  <c r="L27" i="5" a="1"/>
  <c r="L27" i="5" l="1"/>
  <c r="L10" i="5" a="1"/>
  <c r="L10" i="5" l="1"/>
  <c r="K19" i="5" a="1"/>
  <c r="K19" i="5" l="1"/>
  <c r="L30" i="5" a="1"/>
  <c r="L30" i="5" l="1"/>
  <c r="L32" i="5" a="1"/>
  <c r="L32" i="5" l="1"/>
  <c r="K22" i="5" a="1"/>
  <c r="K22" i="5" l="1"/>
  <c r="L18" i="5" a="1"/>
  <c r="L18" i="5" l="1"/>
  <c r="L31" i="5" a="1"/>
  <c r="L31" i="5" l="1"/>
  <c r="K20" i="5" a="1"/>
  <c r="K20" i="5" l="1"/>
  <c r="L29" i="5" a="1"/>
  <c r="L29" i="5" l="1"/>
  <c r="L12" i="5" a="1"/>
  <c r="L12" i="5" l="1"/>
  <c r="K17" i="5" a="1"/>
  <c r="K17" i="5" l="1"/>
  <c r="K15" i="5" a="1"/>
  <c r="K15" i="5" l="1"/>
  <c r="L22" i="5" a="1"/>
  <c r="L22" i="5" l="1"/>
  <c r="K13" i="5" a="1"/>
  <c r="K13" i="5" l="1"/>
  <c r="L26" i="5" a="1"/>
  <c r="L26" i="5" l="1"/>
  <c r="L24" i="5" a="1"/>
  <c r="L24" i="5" l="1"/>
  <c r="L20" i="5" a="1"/>
  <c r="L20" i="5" l="1"/>
  <c r="L17" i="5" a="1"/>
  <c r="L17" i="5" l="1"/>
  <c r="L7" i="5" a="1"/>
  <c r="L7" i="5" l="1"/>
  <c r="L13" i="5" a="1"/>
  <c r="L13" i="5" l="1"/>
  <c r="K18" i="5" a="1"/>
  <c r="K18" i="5" l="1"/>
  <c r="L8" i="5" a="1"/>
  <c r="L8" i="5" l="1"/>
  <c r="L15" i="5" a="1"/>
  <c r="L15" i="5" l="1"/>
  <c r="K9" i="5" a="1"/>
  <c r="K9" i="5" l="1"/>
  <c r="K32" i="5" a="1"/>
  <c r="K32" i="5" l="1"/>
  <c r="K29" i="5" a="1"/>
  <c r="K29" i="5" l="1"/>
  <c r="K31" i="5" a="1"/>
  <c r="K31" i="5" l="1"/>
  <c r="L21" i="5" a="1"/>
  <c r="L21" i="5" l="1"/>
  <c r="K30" i="5" a="1"/>
  <c r="K30" i="5" l="1"/>
  <c r="K14" i="5" a="1"/>
  <c r="K14" i="5" l="1"/>
  <c r="K25" i="5" a="1"/>
  <c r="K25" i="5" l="1"/>
  <c r="L14" i="5" a="1"/>
  <c r="L14" i="5" l="1"/>
  <c r="K26" i="5" a="1"/>
  <c r="K26" i="5" l="1"/>
  <c r="K24" i="5" a="1"/>
  <c r="K24" i="5" l="1"/>
  <c r="L19" i="5" a="1"/>
  <c r="L19" i="5" l="1"/>
  <c r="K8" i="5" a="1"/>
  <c r="K8" i="5" l="1"/>
  <c r="G20" i="5" a="1"/>
  <c r="G20" i="5" l="1"/>
  <c r="H32" i="5" a="1"/>
  <c r="H32" i="5" l="1"/>
  <c r="I16" i="5" a="1"/>
  <c r="I16" i="5" l="1"/>
  <c r="J27" i="5" a="1"/>
  <c r="J27" i="5" l="1"/>
  <c r="H14" i="5" a="1"/>
  <c r="H14" i="5" l="1"/>
  <c r="I6" i="5" a="1"/>
  <c r="I6" i="5" l="1"/>
  <c r="I17" i="5" a="1"/>
  <c r="I17" i="5" l="1"/>
  <c r="G17" i="5" a="1"/>
  <c r="G17" i="5" l="1"/>
  <c r="J32" i="5" a="1"/>
  <c r="J32" i="5" l="1"/>
  <c r="J15" i="5" a="1"/>
  <c r="J15" i="5" l="1"/>
  <c r="G21" i="5" a="1"/>
  <c r="G21" i="5" l="1"/>
  <c r="G6" i="5" a="1"/>
  <c r="G6" i="5" l="1"/>
  <c r="H19" i="5" a="1"/>
  <c r="H19" i="5" l="1"/>
  <c r="I22" i="5" a="1"/>
  <c r="I22" i="5" l="1"/>
  <c r="J6" i="5" a="1"/>
  <c r="J6" i="5" l="1"/>
  <c r="I32" i="5" a="1"/>
  <c r="I32" i="5" l="1"/>
  <c r="I23" i="5" a="1"/>
  <c r="I23" i="5" l="1"/>
  <c r="H7" i="5" a="1"/>
  <c r="H7" i="5" l="1"/>
  <c r="I9" i="5" a="1"/>
  <c r="I9" i="5" l="1"/>
  <c r="J8" i="5" a="1"/>
  <c r="J8" i="5" l="1"/>
  <c r="J7" i="5" a="1"/>
  <c r="J7" i="5" l="1"/>
  <c r="G10" i="5" a="1"/>
  <c r="G10" i="5" l="1"/>
  <c r="J25" i="5" a="1"/>
  <c r="J25" i="5" l="1"/>
  <c r="H25" i="5" a="1"/>
  <c r="H25" i="5" l="1"/>
  <c r="I8" i="5" a="1"/>
  <c r="I8" i="5" l="1"/>
  <c r="H8" i="5" a="1"/>
  <c r="H8" i="5" l="1"/>
  <c r="H13" i="5" a="1"/>
  <c r="H13" i="5" l="1"/>
  <c r="J18" i="5" a="1"/>
  <c r="J18" i="5" l="1"/>
  <c r="H30" i="5" a="1"/>
  <c r="H30" i="5" l="1"/>
  <c r="G22" i="5" a="1"/>
  <c r="G22" i="5" l="1"/>
  <c r="G30" i="5" a="1"/>
  <c r="G30" i="5" l="1"/>
  <c r="H16" i="5" a="1"/>
  <c r="H16" i="5" l="1"/>
  <c r="G32" i="5" a="1"/>
  <c r="G32" i="5" l="1"/>
  <c r="G13" i="5" a="1"/>
  <c r="G13" i="5" l="1"/>
  <c r="B32" i="4"/>
  <c r="F32" i="4"/>
  <c r="N32" i="5"/>
  <c r="J16" i="5" a="1"/>
  <c r="J16" i="5" l="1"/>
  <c r="H10" i="5" a="1"/>
  <c r="H10" i="5" l="1"/>
  <c r="I18" i="5" a="1"/>
  <c r="I18" i="5" l="1"/>
  <c r="H12" i="5" a="1"/>
  <c r="H12" i="5" l="1"/>
  <c r="H22" i="5" a="1"/>
  <c r="H22" i="5" l="1"/>
  <c r="J31" i="5" a="1"/>
  <c r="J31" i="5" l="1"/>
  <c r="I24" i="5" a="1"/>
  <c r="I24" i="5" l="1"/>
  <c r="G8" i="5" a="1"/>
  <c r="G8" i="5" l="1"/>
  <c r="I26" i="5" a="1"/>
  <c r="I26" i="5" l="1"/>
  <c r="B8" i="4"/>
  <c r="F8" i="4"/>
  <c r="N8" i="5"/>
  <c r="I25" i="5" a="1"/>
  <c r="I25" i="5" l="1"/>
  <c r="J13" i="5" a="1"/>
  <c r="J13" i="5" l="1"/>
  <c r="H28" i="5" a="1"/>
  <c r="H28" i="5" l="1"/>
  <c r="I21" i="5" a="1"/>
  <c r="I21" i="5" l="1"/>
  <c r="J20" i="5" a="1"/>
  <c r="J20" i="5" l="1"/>
  <c r="G19" i="5" a="1"/>
  <c r="G19" i="5" l="1"/>
  <c r="I29" i="5" a="1"/>
  <c r="I29" i="5" l="1"/>
  <c r="J17" i="5" a="1"/>
  <c r="J17" i="5" l="1"/>
  <c r="H15" i="5" a="1"/>
  <c r="H15" i="5" l="1"/>
  <c r="G25" i="5" a="1"/>
  <c r="G25" i="5" l="1"/>
  <c r="G12" i="5" a="1"/>
  <c r="G12" i="5" l="1"/>
  <c r="B25" i="4"/>
  <c r="N25" i="5"/>
  <c r="F25" i="4"/>
  <c r="J10" i="5" a="1"/>
  <c r="J10" i="5" l="1"/>
  <c r="G14" i="5" a="1"/>
  <c r="G14" i="5" l="1"/>
  <c r="G24" i="5" a="1"/>
  <c r="G24" i="5" l="1"/>
  <c r="G15" i="5" a="1"/>
  <c r="G15" i="5" l="1"/>
  <c r="H18" i="5" a="1"/>
  <c r="H18" i="5" l="1"/>
  <c r="J28" i="5" a="1"/>
  <c r="J28" i="5" l="1"/>
  <c r="G16" i="5" a="1"/>
  <c r="G16" i="5" l="1"/>
  <c r="G7" i="5" a="1"/>
  <c r="G7" i="5" l="1"/>
  <c r="B16" i="4"/>
  <c r="N16" i="5"/>
  <c r="F16" i="4"/>
  <c r="I7" i="5" a="1"/>
  <c r="I7" i="5" l="1"/>
  <c r="B7" i="4" s="1"/>
  <c r="H21" i="5" a="1"/>
  <c r="N7" i="5" l="1"/>
  <c r="F7" i="4"/>
  <c r="H21" i="5"/>
  <c r="G28" i="5" a="1"/>
  <c r="G28" i="5" l="1"/>
  <c r="G27" i="5" a="1"/>
  <c r="G27" i="5" l="1"/>
  <c r="J26" i="5" a="1"/>
  <c r="J26" i="5" l="1"/>
  <c r="G26" i="5" a="1"/>
  <c r="G26" i="5" l="1"/>
  <c r="H23" i="5" a="1"/>
  <c r="H23" i="5" l="1"/>
  <c r="H27" i="5" a="1"/>
  <c r="H27" i="5" l="1"/>
  <c r="J22" i="5" a="1"/>
  <c r="J22" i="5" l="1"/>
  <c r="J21" i="5" a="1"/>
  <c r="J21" i="5" l="1"/>
  <c r="N22" i="5"/>
  <c r="F22" i="4"/>
  <c r="B22" i="4"/>
  <c r="J30" i="5" a="1"/>
  <c r="J30" i="5" l="1"/>
  <c r="N21" i="5"/>
  <c r="B21" i="4"/>
  <c r="F21" i="4"/>
  <c r="G31" i="5" a="1"/>
  <c r="G31" i="5" l="1"/>
  <c r="I13" i="5" a="1"/>
  <c r="I13" i="5" l="1"/>
  <c r="G23" i="5" a="1"/>
  <c r="G23" i="5" l="1"/>
  <c r="N13" i="5"/>
  <c r="F13" i="4"/>
  <c r="B13" i="4"/>
  <c r="H31" i="5" a="1"/>
  <c r="H31" i="5" l="1"/>
  <c r="H26" i="5" a="1"/>
  <c r="H26" i="5" l="1"/>
  <c r="I10" i="5" a="1"/>
  <c r="I10" i="5" l="1"/>
  <c r="N26" i="5"/>
  <c r="F26" i="4"/>
  <c r="B26" i="4"/>
  <c r="I12" i="5" a="1"/>
  <c r="I12" i="5" l="1"/>
  <c r="B10" i="4"/>
  <c r="F10" i="4"/>
  <c r="N10" i="5"/>
  <c r="H9" i="5" a="1"/>
  <c r="H9" i="5" l="1"/>
  <c r="I27" i="5" a="1"/>
  <c r="I27" i="5" l="1"/>
  <c r="J12" i="5" a="1"/>
  <c r="J12" i="5" l="1"/>
  <c r="N27" i="5"/>
  <c r="F27" i="4"/>
  <c r="B27" i="4"/>
  <c r="J19" i="5" a="1"/>
  <c r="J19" i="5" l="1"/>
  <c r="N12" i="5"/>
  <c r="F12" i="4"/>
  <c r="B12" i="4"/>
  <c r="G29" i="5" a="1"/>
  <c r="G29" i="5" l="1"/>
  <c r="G18" i="5" a="1"/>
  <c r="G18" i="5" l="1"/>
  <c r="I14" i="5" a="1"/>
  <c r="I14" i="5" l="1"/>
  <c r="N18" i="5"/>
  <c r="F18" i="4"/>
  <c r="B18" i="4"/>
  <c r="H17" i="5" a="1"/>
  <c r="H17" i="5" l="1"/>
  <c r="J9" i="5" a="1"/>
  <c r="J9" i="5" l="1"/>
  <c r="N17" i="5"/>
  <c r="B17" i="4"/>
  <c r="F17" i="4"/>
  <c r="I19" i="5" a="1"/>
  <c r="I19" i="5" l="1"/>
  <c r="H20" i="5" a="1"/>
  <c r="H20" i="5" l="1"/>
  <c r="N19" i="5"/>
  <c r="B19" i="4"/>
  <c r="F19" i="4"/>
  <c r="I31" i="5" a="1"/>
  <c r="I31" i="5" l="1"/>
  <c r="G9" i="5" a="1"/>
  <c r="G9" i="5" l="1"/>
  <c r="F31" i="4"/>
  <c r="B31" i="4"/>
  <c r="N31" i="5"/>
  <c r="H29" i="5" a="1"/>
  <c r="H29" i="5" l="1"/>
  <c r="B9" i="4"/>
  <c r="F9" i="4"/>
  <c r="N9" i="5"/>
  <c r="H24" i="5" a="1"/>
  <c r="H24" i="5" l="1"/>
  <c r="I20" i="5" a="1"/>
  <c r="I20" i="5" l="1"/>
  <c r="I28" i="5" a="1"/>
  <c r="I28" i="5" l="1"/>
  <c r="F20" i="4"/>
  <c r="N20" i="5"/>
  <c r="B20" i="4"/>
  <c r="J14" i="5" a="1"/>
  <c r="J14" i="5" l="1"/>
  <c r="N28" i="5"/>
  <c r="B28" i="4"/>
  <c r="F28" i="4"/>
  <c r="I15" i="5" a="1"/>
  <c r="I15" i="5" l="1"/>
  <c r="N14" i="5"/>
  <c r="B14" i="4"/>
  <c r="F14" i="4"/>
  <c r="I30" i="5" a="1"/>
  <c r="I30" i="5" l="1"/>
  <c r="F15" i="4"/>
  <c r="B15" i="4"/>
  <c r="N15" i="5"/>
  <c r="J29" i="5" a="1"/>
  <c r="J29" i="5" l="1"/>
  <c r="B30" i="4"/>
  <c r="N30" i="5"/>
  <c r="F30" i="4"/>
  <c r="J23" i="5" a="1"/>
  <c r="J23" i="5" l="1"/>
  <c r="B29" i="4"/>
  <c r="F29" i="4"/>
  <c r="N29" i="5"/>
  <c r="H6" i="5" a="1"/>
  <c r="H6" i="5" l="1"/>
  <c r="N23" i="5"/>
  <c r="B23" i="4"/>
  <c r="F23" i="4"/>
  <c r="J24" i="5" a="1"/>
  <c r="J24" i="5" l="1"/>
  <c r="N6" i="5"/>
  <c r="F6" i="4"/>
  <c r="B6" i="4"/>
  <c r="J11" i="5" a="1"/>
  <c r="J11" i="5" l="1"/>
  <c r="B24" i="4"/>
  <c r="N24" i="5"/>
  <c r="F24" i="4"/>
  <c r="I11" i="5" a="1"/>
  <c r="I11" i="5" l="1"/>
  <c r="H11" i="5" a="1"/>
  <c r="H11" i="5" l="1"/>
  <c r="M11" i="5" a="1"/>
  <c r="M11" i="5" l="1"/>
  <c r="G11" i="5" a="1"/>
  <c r="G11" i="5" l="1"/>
  <c r="L11" i="5" a="1"/>
  <c r="L11" i="5" l="1"/>
  <c r="K11" i="5" a="1"/>
  <c r="K11" i="5" l="1"/>
  <c r="B11" i="4" l="1"/>
  <c r="F11" i="4"/>
  <c r="N11" i="5"/>
  <c r="O11" i="5" l="1"/>
  <c r="O18" i="5"/>
  <c r="O17" i="5"/>
  <c r="O31" i="5"/>
  <c r="O32" i="5"/>
  <c r="O8" i="5"/>
  <c r="O28" i="5"/>
  <c r="O29" i="5"/>
  <c r="O10" i="5"/>
  <c r="O27" i="5"/>
  <c r="O23" i="5"/>
  <c r="O6" i="5"/>
  <c r="O9" i="5"/>
  <c r="O7" i="5"/>
  <c r="O19" i="5"/>
  <c r="O15" i="5"/>
  <c r="O30" i="5"/>
  <c r="O20" i="5"/>
  <c r="O16" i="5"/>
  <c r="O22" i="5"/>
  <c r="O26" i="5"/>
  <c r="O25" i="5"/>
  <c r="O12" i="5"/>
  <c r="O14" i="5"/>
  <c r="O21" i="5"/>
  <c r="O13" i="5"/>
  <c r="O24" i="5"/>
  <c r="G11" i="4"/>
  <c r="G17" i="4"/>
  <c r="G20" i="4"/>
  <c r="G16" i="4"/>
  <c r="G21" i="4"/>
  <c r="G10" i="4"/>
  <c r="G19" i="4"/>
  <c r="G9" i="4"/>
  <c r="G14" i="4"/>
  <c r="G22" i="4"/>
  <c r="G13" i="4"/>
  <c r="G6" i="4"/>
  <c r="G31" i="4"/>
  <c r="G28" i="4"/>
  <c r="G30" i="4"/>
  <c r="G23" i="4"/>
  <c r="G27" i="4"/>
  <c r="G12" i="4"/>
  <c r="G32" i="4"/>
  <c r="G25" i="4"/>
  <c r="G26" i="4"/>
  <c r="G8" i="4"/>
  <c r="G18" i="4"/>
  <c r="G7" i="4"/>
  <c r="G15" i="4"/>
  <c r="G29" i="4"/>
  <c r="G24" i="4"/>
  <c r="C11" i="4"/>
  <c r="C22" i="4"/>
  <c r="C30" i="4"/>
  <c r="C26" i="4"/>
  <c r="C15" i="4"/>
  <c r="C21" i="4"/>
  <c r="C29" i="4"/>
  <c r="C27" i="4"/>
  <c r="C9" i="4"/>
  <c r="C8" i="4"/>
  <c r="C28" i="4"/>
  <c r="C14" i="4"/>
  <c r="C7" i="4"/>
  <c r="C13" i="4"/>
  <c r="C23" i="4"/>
  <c r="C12" i="4"/>
  <c r="C6" i="4"/>
  <c r="C10" i="4"/>
  <c r="C17" i="4"/>
  <c r="C19" i="4"/>
  <c r="C31" i="4"/>
  <c r="C32" i="4"/>
  <c r="C20" i="4"/>
  <c r="C25" i="4"/>
  <c r="C16" i="4"/>
  <c r="C18" i="4"/>
  <c r="C2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<sst xmlns="http://schemas.openxmlformats.org/spreadsheetml/2006/main" count="593" uniqueCount="150">
  <si>
    <t>B1</t>
  </si>
  <si>
    <t>Parametri</t>
  </si>
  <si>
    <t>Bačvice</t>
  </si>
  <si>
    <t>Blatine-Škrape</t>
  </si>
  <si>
    <t>Bol</t>
  </si>
  <si>
    <t>Brda</t>
  </si>
  <si>
    <t>Grad</t>
  </si>
  <si>
    <t>Gripe</t>
  </si>
  <si>
    <t>Kocunar</t>
  </si>
  <si>
    <t>Kman</t>
  </si>
  <si>
    <t>Lokve</t>
  </si>
  <si>
    <t>Lovret</t>
  </si>
  <si>
    <t>Lučac-Manuš</t>
  </si>
  <si>
    <t>Mejaši</t>
  </si>
  <si>
    <t>Meje</t>
  </si>
  <si>
    <t>Mertojak</t>
  </si>
  <si>
    <t>Neslanovac</t>
  </si>
  <si>
    <t>Plokite</t>
  </si>
  <si>
    <t>Pujanke</t>
  </si>
  <si>
    <t>Ravne Njive</t>
  </si>
  <si>
    <t>Sirobuja</t>
  </si>
  <si>
    <t>Spinut</t>
  </si>
  <si>
    <t>Split 3</t>
  </si>
  <si>
    <t>Sućidar</t>
  </si>
  <si>
    <t>Šine</t>
  </si>
  <si>
    <t>Trstenik</t>
  </si>
  <si>
    <t>Varoš</t>
  </si>
  <si>
    <t>Visoka</t>
  </si>
  <si>
    <t>Žnjan</t>
  </si>
  <si>
    <t>G1</t>
  </si>
  <si>
    <t>Blizina uslugama</t>
  </si>
  <si>
    <t>Ponuda usluga</t>
  </si>
  <si>
    <t>Javni prijevoz</t>
  </si>
  <si>
    <t>Buka</t>
  </si>
  <si>
    <t>Zagađenost</t>
  </si>
  <si>
    <t>Zelenilo (javno)</t>
  </si>
  <si>
    <t>Vrtovi (privatni)</t>
  </si>
  <si>
    <t>Sigurnost (od kriminala)</t>
  </si>
  <si>
    <t>Ocjene od 1 - 10</t>
  </si>
  <si>
    <t>Normalizirane vrijednosti</t>
  </si>
  <si>
    <t>Vrijednost</t>
  </si>
  <si>
    <t>Parking</t>
  </si>
  <si>
    <t>Pomoćna tablica usluga</t>
  </si>
  <si>
    <t>Usluga</t>
  </si>
  <si>
    <t>Osnovna škola</t>
  </si>
  <si>
    <t>Srednja škola</t>
  </si>
  <si>
    <t>Shopping centar</t>
  </si>
  <si>
    <t>Manja prehrambena trgovina</t>
  </si>
  <si>
    <t>Velika prehrambena trgovina</t>
  </si>
  <si>
    <t>Ordinacija</t>
  </si>
  <si>
    <t>Kulturni sadržaji</t>
  </si>
  <si>
    <t>SUMA</t>
  </si>
  <si>
    <t>Plaža</t>
  </si>
  <si>
    <t>Broj bodova (maksimalno)</t>
  </si>
  <si>
    <t>0, 1</t>
  </si>
  <si>
    <t>Dopuštene vrijednosti</t>
  </si>
  <si>
    <t>0, 0.5, 1</t>
  </si>
  <si>
    <t>0, 0.5</t>
  </si>
  <si>
    <t>Vrtić</t>
  </si>
  <si>
    <t>0. 1</t>
  </si>
  <si>
    <t>Blatine</t>
  </si>
  <si>
    <t>Crkva</t>
  </si>
  <si>
    <t>Ostale trgovine/djelatnosti</t>
  </si>
  <si>
    <t>Lučac</t>
  </si>
  <si>
    <t>Javne institucije (policija, FINA, …)</t>
  </si>
  <si>
    <t>Pomoćna tablica vrtova</t>
  </si>
  <si>
    <t>Sigurnost (od katastrofa)</t>
  </si>
  <si>
    <t>Pomoćna tablica buke</t>
  </si>
  <si>
    <t>Turizam</t>
  </si>
  <si>
    <t>Industrija</t>
  </si>
  <si>
    <t>Pomoćna tablica blizine usluga</t>
  </si>
  <si>
    <t>Dioklecijanova palača</t>
  </si>
  <si>
    <t>Izlaz "Lovrinac" na D8</t>
  </si>
  <si>
    <t>Rotor "Bilice" na D8</t>
  </si>
  <si>
    <t>Najbliža plaža</t>
  </si>
  <si>
    <t>Objašnjenje</t>
  </si>
  <si>
    <t>Ocjena je razlika maksimalnog broja bodova i kilometraže od sjedišta gradskog kotara do lokacije najkraćim putem automobilom.</t>
  </si>
  <si>
    <t>Suma</t>
  </si>
  <si>
    <t>Pomoćna tablica javnog zelenila</t>
  </si>
  <si>
    <t>1-2</t>
  </si>
  <si>
    <t>3-4</t>
  </si>
  <si>
    <t>manjak stabala bez zelenih površina</t>
  </si>
  <si>
    <t>manjak stabala s manjkom zelenih površina</t>
  </si>
  <si>
    <t>mnogo stabala s manjkom zelenih površina</t>
  </si>
  <si>
    <t>8-10</t>
  </si>
  <si>
    <t>5-7</t>
  </si>
  <si>
    <t>mnogo stabala s mnogo zelenih površina</t>
  </si>
  <si>
    <t>Ref. vrijednost - Sirobuja</t>
  </si>
  <si>
    <t>REF</t>
  </si>
  <si>
    <t>Rank</t>
  </si>
  <si>
    <t>Knjižnica</t>
  </si>
  <si>
    <t>"Stari" kampus (ETŠ Split)</t>
  </si>
  <si>
    <t>"Novi" kampus (FESB)</t>
  </si>
  <si>
    <t>MallOfSplit</t>
  </si>
  <si>
    <t>Siam Thaifood Split</t>
  </si>
  <si>
    <t>Osnovna škola Kamen-Šine</t>
  </si>
  <si>
    <t>Pomoćna tablica javnog prijevoza</t>
  </si>
  <si>
    <t>Pazar 1, Pazar 2</t>
  </si>
  <si>
    <t>Sedam Kaštela - Stadion Poljud / Skalice 2 / Park Emanuela Vidovića / Matoševa  - Stari plac</t>
  </si>
  <si>
    <t>Vukovarska - Mall of Split  1 / Vukovarska - Mall of Split 2</t>
  </si>
  <si>
    <t>Autobusna stanica / destinacija</t>
  </si>
  <si>
    <t>Strobreč, Žrnovnica, Omiš, …</t>
  </si>
  <si>
    <t>Matice Hrvatske - Đački dom 2 / Matice Hrvatske - Đački dom 1 / Matice Hrvatske - Kampus 1 / Matice Hrvatske - Kampus 2 / Bušićeva - Kampus 1 / Bušićeva - Kampus 2 / Vukovarska - Sućidar / Vukovarska - Kampus</t>
  </si>
  <si>
    <t>0, 2.5, 4.5, 5</t>
  </si>
  <si>
    <t>0, 1.5, 2.5, 3</t>
  </si>
  <si>
    <t>0, 1, 1.5, 2</t>
  </si>
  <si>
    <t xml:space="preserve">0, 0.5, 1, 1.5 </t>
  </si>
  <si>
    <t>0, 0.5, 1, 1.5</t>
  </si>
  <si>
    <t>Solin, Kaštela, Trogir, …</t>
  </si>
  <si>
    <t>Bolnica Firule 1 / Bolnica Firule 2</t>
  </si>
  <si>
    <t>0, 1.75, 3, 3.5</t>
  </si>
  <si>
    <t>Veća gradska ulica (u sredini)</t>
  </si>
  <si>
    <t>Veća gradska ulica (na rubu)</t>
  </si>
  <si>
    <t>Najbliža stanica najbližoj plaži</t>
  </si>
  <si>
    <t>Broj bodova (max. udaljenost)</t>
  </si>
  <si>
    <t>Iznimno se koristi linija 25.</t>
  </si>
  <si>
    <r>
      <t>Udaljenost do stanice kojom prometuje linija do tražene stanice/destinacije (</t>
    </r>
    <r>
      <rPr>
        <i/>
        <u/>
        <sz val="11"/>
        <color theme="1"/>
        <rFont val="Aptos Narrow"/>
        <family val="2"/>
        <scheme val="minor"/>
      </rPr>
      <t>nula</t>
    </r>
    <r>
      <rPr>
        <i/>
        <sz val="11"/>
        <color theme="1"/>
        <rFont val="Aptos Narrow"/>
        <family val="2"/>
        <scheme val="minor"/>
      </rPr>
      <t xml:space="preserve"> - linija ne postoji, </t>
    </r>
    <r>
      <rPr>
        <i/>
        <u/>
        <sz val="11"/>
        <color theme="1"/>
        <rFont val="Aptos Narrow"/>
        <family val="2"/>
        <scheme val="minor"/>
      </rPr>
      <t>pola max. vrijednosti udaljenosti</t>
    </r>
    <r>
      <rPr>
        <i/>
        <sz val="11"/>
        <color theme="1"/>
        <rFont val="Aptos Narrow"/>
        <family val="2"/>
        <scheme val="minor"/>
      </rPr>
      <t xml:space="preserve"> - linija je u blizini, ali izvan gradskog kotara, </t>
    </r>
    <r>
      <rPr>
        <i/>
        <u/>
        <sz val="11"/>
        <color theme="1"/>
        <rFont val="Aptos Narrow"/>
        <family val="2"/>
        <scheme val="minor"/>
      </rPr>
      <t xml:space="preserve">0.5 manje od max. vrijednosti udaljenosti </t>
    </r>
    <r>
      <rPr>
        <i/>
        <sz val="11"/>
        <color theme="1"/>
        <rFont val="Aptos Narrow"/>
        <family val="2"/>
        <scheme val="minor"/>
      </rPr>
      <t xml:space="preserve">- linija je na rubu kotara (granična cesta se ubraja u oba kotara), </t>
    </r>
    <r>
      <rPr>
        <i/>
        <u/>
        <sz val="11"/>
        <color theme="1"/>
        <rFont val="Aptos Narrow"/>
        <family val="2"/>
        <scheme val="minor"/>
      </rPr>
      <t>max. vrijednost</t>
    </r>
    <r>
      <rPr>
        <i/>
        <sz val="11"/>
        <color theme="1"/>
        <rFont val="Aptos Narrow"/>
        <family val="2"/>
        <scheme val="minor"/>
      </rPr>
      <t xml:space="preserve"> udaljenosti - linija je u gradskom kotaru) se pomnoži s brojem linija za gradske kategorije. Maksimalna vrijednost udaljenosti se dobiva ako je barem jedna tražena linija u kvartu. Računaju se samo gradske linije (osim za zadnje dvije kategorije). Orijentacija linije se uzima u obzir. Linije 14 i 20 se ne računaju.</t>
    </r>
  </si>
  <si>
    <t>Igrališta (nogometno, …)</t>
  </si>
  <si>
    <t>Matematička lista Splitskih kotara</t>
  </si>
  <si>
    <t>Gradski kotari</t>
  </si>
  <si>
    <t>0, 2.5, 3, 5</t>
  </si>
  <si>
    <t>0, 0.7, 1.3, 2, 2.5</t>
  </si>
  <si>
    <t>0, 2.5, 5</t>
  </si>
  <si>
    <t>0, 2.5</t>
  </si>
  <si>
    <t>Širina ceste</t>
  </si>
  <si>
    <t>Širina nogostupa</t>
  </si>
  <si>
    <t>Struja, vodovod, Internet, …</t>
  </si>
  <si>
    <t>Pješačke zone</t>
  </si>
  <si>
    <t>Neplanirana gradnja / infrastruktura</t>
  </si>
  <si>
    <t>Srednji objekt, &lt; 3 &lt; 8 katova</t>
  </si>
  <si>
    <t>Vrsta objekta</t>
  </si>
  <si>
    <t>Garaža u sklopu projekta</t>
  </si>
  <si>
    <t>Postotak vrste se pomnoži s brojem bodova. Svaka kategorija dobiva dodatni bod, ako većina ispunjava kriterij.</t>
  </si>
  <si>
    <t>Postotak objekata s vrtom se pomnoži s postotkom zastupljenosti vrste objekta.</t>
  </si>
  <si>
    <r>
      <t xml:space="preserve">Visoki objekt, </t>
    </r>
    <r>
      <rPr>
        <sz val="11"/>
        <color theme="1"/>
        <rFont val="Aptos Narrow"/>
        <family val="2"/>
      </rPr>
      <t xml:space="preserve">≥ </t>
    </r>
    <r>
      <rPr>
        <sz val="11"/>
        <color theme="1"/>
        <rFont val="Aptos Narrow"/>
        <family val="2"/>
        <scheme val="minor"/>
      </rPr>
      <t>8 katova</t>
    </r>
  </si>
  <si>
    <r>
      <t xml:space="preserve">Niski objekt, </t>
    </r>
    <r>
      <rPr>
        <sz val="11"/>
        <color theme="1"/>
        <rFont val="Aptos Narrow"/>
        <family val="2"/>
      </rPr>
      <t>≤</t>
    </r>
    <r>
      <rPr>
        <sz val="11"/>
        <color theme="1"/>
        <rFont val="Aptos Narrow"/>
        <family val="2"/>
        <scheme val="minor"/>
      </rPr>
      <t xml:space="preserve"> 3 kata</t>
    </r>
  </si>
  <si>
    <t>Pomoćna tablica blizine parkinga</t>
  </si>
  <si>
    <t>Pomoćna tablica pješačkih zona</t>
  </si>
  <si>
    <t>Horizontalno</t>
  </si>
  <si>
    <t>Orijentacija</t>
  </si>
  <si>
    <t>Vertikalno</t>
  </si>
  <si>
    <r>
      <t xml:space="preserve">Niski objekt, </t>
    </r>
    <r>
      <rPr>
        <sz val="11"/>
        <color theme="1"/>
        <rFont val="Aptos Narrow"/>
        <family val="2"/>
      </rPr>
      <t>≤ 3</t>
    </r>
    <r>
      <rPr>
        <sz val="11"/>
        <color theme="1"/>
        <rFont val="Aptos Narrow"/>
        <family val="2"/>
        <scheme val="minor"/>
      </rPr>
      <t xml:space="preserve"> kata</t>
    </r>
  </si>
  <si>
    <t>Pomoćna tablica infrastrukture (inverzna tablica)</t>
  </si>
  <si>
    <t>Vanjsko stanje objekata</t>
  </si>
  <si>
    <t>0, 0.5, 0.75, 1, 2</t>
  </si>
  <si>
    <t>0, 0.5, 1.25, 1.5, 2, 3</t>
  </si>
  <si>
    <t>0.5, 0.6, 0.75, 1, 1.25</t>
  </si>
  <si>
    <t>0.5, 0.6, 0.75, 1, 1.25, 1.5</t>
  </si>
  <si>
    <r>
      <t xml:space="preserve">Faktor korisničkog iskustva - </t>
    </r>
    <r>
      <rPr>
        <sz val="11"/>
        <color theme="1"/>
        <rFont val="Aptos Narrow"/>
        <family val="2"/>
      </rPr>
      <t>∏</t>
    </r>
    <r>
      <rPr>
        <i/>
        <sz val="11"/>
        <color theme="1"/>
        <rFont val="Segoe UI"/>
        <family val="2"/>
      </rPr>
      <t xml:space="preserve">G / </t>
    </r>
    <r>
      <rPr>
        <sz val="11"/>
        <color theme="1"/>
        <rFont val="Aptos Narrow"/>
        <family val="2"/>
      </rPr>
      <t>√∏</t>
    </r>
    <r>
      <rPr>
        <i/>
        <sz val="11"/>
        <color theme="1"/>
        <rFont val="Segoe UI"/>
        <family val="2"/>
      </rPr>
      <t>B</t>
    </r>
  </si>
  <si>
    <r>
      <t xml:space="preserve">Faktor korisničkog iskustva - </t>
    </r>
    <r>
      <rPr>
        <sz val="11"/>
        <color theme="1"/>
        <rFont val="Aptos Narrow"/>
        <family val="2"/>
      </rPr>
      <t>∏</t>
    </r>
    <r>
      <rPr>
        <i/>
        <sz val="11"/>
        <color theme="1"/>
        <rFont val="Aptos Narrow"/>
        <family val="2"/>
      </rPr>
      <t>G</t>
    </r>
    <r>
      <rPr>
        <sz val="11"/>
        <color theme="1"/>
        <rFont val="Aptos Narrow"/>
        <family val="2"/>
      </rPr>
      <t xml:space="preserve"> / ∏</t>
    </r>
    <r>
      <rPr>
        <i/>
        <sz val="11"/>
        <color theme="1"/>
        <rFont val="Aptos Narrow"/>
        <family val="2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</si>
</sst>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sz val="11"/>
      <color theme="0"/>
      <name val="Aptos Narrow"/>
      <family val="2"/>
      <scheme val="minor"/>
    </font>
    <font>
      <sz val="11"/>
      <color rgb="FF00B050"/>
      <name val="Segoe UI"/>
      <family val="2"/>
    </font>
    <font>
      <sz val="11"/>
      <color rgb="FFFF0000"/>
      <name val="Segoe UI"/>
      <family val="2"/>
    </font>
    <font>
      <i/>
      <sz val="11"/>
      <color theme="1"/>
      <name val="Segoe UI"/>
      <family val="2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006100"/>
      <name val="Segoe UI"/>
      <family val="2"/>
    </font>
    <font>
      <b/>
      <sz val="11"/>
      <color rgb="FF9C0006"/>
      <name val="Segoe UI"/>
      <family val="2"/>
    </font>
    <font>
      <sz val="11"/>
      <name val="Segoe UI"/>
      <family val="2"/>
    </font>
    <font>
      <b/>
      <sz val="11"/>
      <name val="Segoe UI"/>
      <family val="2"/>
    </font>
    <font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i/>
      <sz val="11"/>
      <color theme="1"/>
      <name val="Aptos Narrow"/>
      <family val="2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ED494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1F3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139AD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4EA72E"/>
        <bgColor indexed="64"/>
      </patternFill>
    </fill>
    <fill>
      <patternFill patternType="solid">
        <fgColor theme="0" tint="-0.14999847407452621"/>
        <bgColor indexed="64"/>
      </patternFill>
    </fill>
  </fills>
  <borders count="6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2" fillId="5" borderId="0" applyNumberFormat="0" applyBorder="0" applyAlignment="0" applyProtection="0"/>
    <xf numFmtId="0" fontId="6" fillId="6" borderId="0" applyNumberFormat="0" applyBorder="0" applyAlignment="0" applyProtection="0"/>
    <xf numFmtId="0" fontId="2" fillId="7" borderId="0" applyNumberFormat="0" applyBorder="0" applyAlignment="0" applyProtection="0"/>
    <xf numFmtId="9" fontId="6" fillId="0" borderId="0" applyFont="0" applyFill="0" applyBorder="0" applyAlignment="0" applyProtection="0"/>
  </cellStyleXfs>
  <cellXfs count="19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3" fillId="0" borderId="0" xfId="0" applyFont="1"/>
    <xf numFmtId="0" fontId="4" fillId="0" borderId="0" xfId="0" applyFont="1"/>
    <xf numFmtId="0" fontId="1" fillId="0" borderId="7" xfId="0" applyFont="1" applyBorder="1" applyAlignment="1">
      <alignment horizontal="center"/>
    </xf>
    <xf numFmtId="0" fontId="4" fillId="0" borderId="4" xfId="0" applyFont="1" applyBorder="1"/>
    <xf numFmtId="0" fontId="1" fillId="0" borderId="10" xfId="0" applyFont="1" applyBorder="1"/>
    <xf numFmtId="0" fontId="0" fillId="0" borderId="9" xfId="0" applyBorder="1"/>
    <xf numFmtId="0" fontId="9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9" fillId="0" borderId="21" xfId="0" applyFont="1" applyBorder="1"/>
    <xf numFmtId="0" fontId="0" fillId="0" borderId="22" xfId="0" applyBorder="1"/>
    <xf numFmtId="0" fontId="0" fillId="0" borderId="24" xfId="0" applyBorder="1"/>
    <xf numFmtId="0" fontId="11" fillId="0" borderId="0" xfId="0" applyFont="1"/>
    <xf numFmtId="0" fontId="0" fillId="0" borderId="9" xfId="0" applyBorder="1" applyAlignment="1">
      <alignment horizontal="right"/>
    </xf>
    <xf numFmtId="0" fontId="13" fillId="0" borderId="0" xfId="0" applyFont="1"/>
    <xf numFmtId="0" fontId="1" fillId="0" borderId="27" xfId="0" applyFont="1" applyBorder="1"/>
    <xf numFmtId="0" fontId="17" fillId="4" borderId="10" xfId="3" applyFont="1" applyBorder="1"/>
    <xf numFmtId="0" fontId="10" fillId="0" borderId="1" xfId="0" applyFont="1" applyBorder="1" applyAlignment="1">
      <alignment horizontal="center"/>
    </xf>
    <xf numFmtId="2" fontId="1" fillId="0" borderId="0" xfId="0" applyNumberFormat="1" applyFont="1"/>
    <xf numFmtId="2" fontId="1" fillId="0" borderId="3" xfId="0" applyNumberFormat="1" applyFont="1" applyBorder="1"/>
    <xf numFmtId="2" fontId="1" fillId="0" borderId="6" xfId="0" applyNumberFormat="1" applyFont="1" applyBorder="1"/>
    <xf numFmtId="2" fontId="1" fillId="0" borderId="25" xfId="0" applyNumberFormat="1" applyFont="1" applyBorder="1"/>
    <xf numFmtId="0" fontId="5" fillId="0" borderId="26" xfId="0" applyFont="1" applyBorder="1"/>
    <xf numFmtId="0" fontId="5" fillId="0" borderId="27" xfId="0" applyFont="1" applyBorder="1"/>
    <xf numFmtId="0" fontId="1" fillId="0" borderId="28" xfId="0" applyFont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9" fillId="0" borderId="34" xfId="0" applyFont="1" applyBorder="1"/>
    <xf numFmtId="49" fontId="0" fillId="0" borderId="32" xfId="0" applyNumberFormat="1" applyBorder="1" applyAlignment="1">
      <alignment horizontal="right"/>
    </xf>
    <xf numFmtId="49" fontId="0" fillId="0" borderId="33" xfId="0" applyNumberFormat="1" applyBorder="1" applyAlignment="1">
      <alignment horizontal="right"/>
    </xf>
    <xf numFmtId="49" fontId="0" fillId="0" borderId="31" xfId="0" applyNumberFormat="1" applyBorder="1" applyAlignment="1">
      <alignment horizontal="right"/>
    </xf>
    <xf numFmtId="0" fontId="15" fillId="4" borderId="4" xfId="3" applyFont="1" applyBorder="1"/>
    <xf numFmtId="0" fontId="1" fillId="0" borderId="5" xfId="0" applyFont="1" applyBorder="1" applyAlignment="1">
      <alignment horizontal="center"/>
    </xf>
    <xf numFmtId="4" fontId="1" fillId="0" borderId="4" xfId="0" applyNumberFormat="1" applyFont="1" applyBorder="1"/>
    <xf numFmtId="4" fontId="1" fillId="0" borderId="27" xfId="0" applyNumberFormat="1" applyFont="1" applyBorder="1"/>
    <xf numFmtId="4" fontId="17" fillId="4" borderId="4" xfId="3" applyNumberFormat="1" applyFont="1" applyBorder="1"/>
    <xf numFmtId="0" fontId="18" fillId="0" borderId="0" xfId="0" applyFont="1"/>
    <xf numFmtId="0" fontId="10" fillId="9" borderId="36" xfId="0" applyFont="1" applyFill="1" applyBorder="1"/>
    <xf numFmtId="0" fontId="1" fillId="9" borderId="35" xfId="0" applyFont="1" applyFill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37" xfId="0" applyBorder="1"/>
    <xf numFmtId="0" fontId="0" fillId="0" borderId="44" xfId="0" applyBorder="1" applyAlignment="1">
      <alignment horizontal="center" vertical="center"/>
    </xf>
    <xf numFmtId="0" fontId="0" fillId="0" borderId="39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45" xfId="0" applyBorder="1"/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1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0" fillId="0" borderId="38" xfId="0" applyBorder="1" applyAlignment="1">
      <alignment horizontal="center"/>
    </xf>
    <xf numFmtId="0" fontId="0" fillId="0" borderId="46" xfId="0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0" fillId="0" borderId="51" xfId="0" applyBorder="1"/>
    <xf numFmtId="0" fontId="1" fillId="11" borderId="10" xfId="0" applyFont="1" applyFill="1" applyBorder="1"/>
    <xf numFmtId="2" fontId="1" fillId="11" borderId="0" xfId="0" applyNumberFormat="1" applyFont="1" applyFill="1"/>
    <xf numFmtId="0" fontId="10" fillId="12" borderId="10" xfId="0" applyFont="1" applyFill="1" applyBorder="1"/>
    <xf numFmtId="2" fontId="10" fillId="12" borderId="0" xfId="0" applyNumberFormat="1" applyFont="1" applyFill="1"/>
    <xf numFmtId="0" fontId="1" fillId="0" borderId="52" xfId="0" applyFont="1" applyBorder="1"/>
    <xf numFmtId="2" fontId="10" fillId="0" borderId="53" xfId="0" applyNumberFormat="1" applyFont="1" applyBorder="1"/>
    <xf numFmtId="2" fontId="10" fillId="0" borderId="33" xfId="0" applyNumberFormat="1" applyFont="1" applyBorder="1"/>
    <xf numFmtId="2" fontId="15" fillId="12" borderId="33" xfId="0" applyNumberFormat="1" applyFont="1" applyFill="1" applyBorder="1"/>
    <xf numFmtId="0" fontId="15" fillId="12" borderId="4" xfId="0" applyFont="1" applyFill="1" applyBorder="1"/>
    <xf numFmtId="2" fontId="14" fillId="11" borderId="33" xfId="0" applyNumberFormat="1" applyFont="1" applyFill="1" applyBorder="1"/>
    <xf numFmtId="0" fontId="14" fillId="11" borderId="4" xfId="0" applyFont="1" applyFill="1" applyBorder="1"/>
    <xf numFmtId="0" fontId="10" fillId="0" borderId="33" xfId="0" applyFont="1" applyBorder="1"/>
    <xf numFmtId="0" fontId="10" fillId="0" borderId="54" xfId="0" applyFont="1" applyBorder="1"/>
    <xf numFmtId="0" fontId="15" fillId="0" borderId="0" xfId="3" applyFont="1" applyFill="1" applyBorder="1"/>
    <xf numFmtId="2" fontId="14" fillId="0" borderId="55" xfId="2" applyNumberFormat="1" applyFont="1" applyFill="1" applyBorder="1"/>
    <xf numFmtId="0" fontId="1" fillId="0" borderId="55" xfId="0" applyFont="1" applyBorder="1"/>
    <xf numFmtId="0" fontId="14" fillId="0" borderId="55" xfId="2" applyFont="1" applyFill="1" applyBorder="1"/>
    <xf numFmtId="0" fontId="0" fillId="0" borderId="0" xfId="0" applyAlignment="1">
      <alignment vertical="center"/>
    </xf>
    <xf numFmtId="0" fontId="0" fillId="0" borderId="50" xfId="0" applyBorder="1" applyAlignment="1">
      <alignment vertical="center"/>
    </xf>
    <xf numFmtId="0" fontId="0" fillId="0" borderId="45" xfId="0" applyBorder="1" applyAlignment="1">
      <alignment wrapText="1"/>
    </xf>
    <xf numFmtId="0" fontId="0" fillId="0" borderId="61" xfId="0" applyBorder="1" applyAlignment="1">
      <alignment vertical="center"/>
    </xf>
    <xf numFmtId="0" fontId="0" fillId="0" borderId="46" xfId="0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7" fillId="12" borderId="10" xfId="3" applyFont="1" applyFill="1" applyBorder="1"/>
    <xf numFmtId="0" fontId="17" fillId="12" borderId="0" xfId="3" applyFont="1" applyFill="1"/>
    <xf numFmtId="0" fontId="17" fillId="12" borderId="4" xfId="3" applyFont="1" applyFill="1" applyBorder="1"/>
    <xf numFmtId="0" fontId="15" fillId="12" borderId="4" xfId="3" applyFont="1" applyFill="1" applyBorder="1"/>
    <xf numFmtId="0" fontId="16" fillId="0" borderId="4" xfId="0" applyFont="1" applyBorder="1"/>
    <xf numFmtId="4" fontId="1" fillId="11" borderId="4" xfId="0" applyNumberFormat="1" applyFont="1" applyFill="1" applyBorder="1"/>
    <xf numFmtId="0" fontId="16" fillId="0" borderId="10" xfId="2" applyFont="1" applyFill="1" applyBorder="1"/>
    <xf numFmtId="4" fontId="16" fillId="0" borderId="4" xfId="2" applyNumberFormat="1" applyFont="1" applyFill="1" applyBorder="1"/>
    <xf numFmtId="0" fontId="16" fillId="0" borderId="4" xfId="2" applyFont="1" applyFill="1" applyBorder="1"/>
    <xf numFmtId="0" fontId="10" fillId="12" borderId="0" xfId="0" applyFont="1" applyFill="1"/>
    <xf numFmtId="0" fontId="9" fillId="0" borderId="9" xfId="0" applyFont="1" applyBorder="1"/>
    <xf numFmtId="0" fontId="18" fillId="0" borderId="0" xfId="0" applyFont="1" applyAlignment="1">
      <alignment horizontal="right" vertical="center"/>
    </xf>
    <xf numFmtId="0" fontId="1" fillId="11" borderId="0" xfId="0" applyFont="1" applyFill="1"/>
    <xf numFmtId="0" fontId="1" fillId="11" borderId="4" xfId="0" applyFont="1" applyFill="1" applyBorder="1"/>
    <xf numFmtId="0" fontId="14" fillId="11" borderId="53" xfId="0" applyFont="1" applyFill="1" applyBorder="1"/>
    <xf numFmtId="0" fontId="16" fillId="0" borderId="0" xfId="2" applyFont="1" applyFill="1"/>
    <xf numFmtId="0" fontId="0" fillId="0" borderId="50" xfId="0" applyBorder="1"/>
    <xf numFmtId="0" fontId="1" fillId="0" borderId="1" xfId="0" applyFont="1" applyBorder="1" applyAlignment="1">
      <alignment horizontal="center"/>
    </xf>
    <xf numFmtId="0" fontId="1" fillId="11" borderId="10" xfId="0" applyFont="1" applyFill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7" fillId="12" borderId="10" xfId="3" applyFont="1" applyFill="1" applyBorder="1" applyAlignment="1">
      <alignment horizontal="right"/>
    </xf>
    <xf numFmtId="0" fontId="16" fillId="0" borderId="10" xfId="2" applyFont="1" applyFill="1" applyBorder="1" applyAlignment="1">
      <alignment horizontal="right"/>
    </xf>
    <xf numFmtId="0" fontId="1" fillId="0" borderId="27" xfId="0" applyFont="1" applyBorder="1" applyAlignment="1">
      <alignment horizontal="right"/>
    </xf>
    <xf numFmtId="0" fontId="10" fillId="12" borderId="10" xfId="0" applyFont="1" applyFill="1" applyBorder="1" applyAlignment="1">
      <alignment horizontal="right"/>
    </xf>
    <xf numFmtId="4" fontId="10" fillId="12" borderId="4" xfId="0" applyNumberFormat="1" applyFont="1" applyFill="1" applyBorder="1"/>
    <xf numFmtId="0" fontId="15" fillId="12" borderId="33" xfId="0" applyFont="1" applyFill="1" applyBorder="1"/>
    <xf numFmtId="0" fontId="0" fillId="0" borderId="23" xfId="0" applyBorder="1"/>
    <xf numFmtId="0" fontId="0" fillId="0" borderId="43" xfId="0" applyBorder="1"/>
    <xf numFmtId="0" fontId="0" fillId="0" borderId="44" xfId="0" applyBorder="1"/>
    <xf numFmtId="0" fontId="0" fillId="0" borderId="0" xfId="7" applyNumberFormat="1" applyFont="1"/>
    <xf numFmtId="0" fontId="0" fillId="0" borderId="0" xfId="7" applyNumberFormat="1" applyFont="1" applyFill="1" applyBorder="1"/>
    <xf numFmtId="164" fontId="0" fillId="0" borderId="0" xfId="7" applyNumberFormat="1" applyFont="1"/>
    <xf numFmtId="164" fontId="11" fillId="0" borderId="0" xfId="7" applyNumberFormat="1" applyFont="1"/>
    <xf numFmtId="164" fontId="0" fillId="0" borderId="0" xfId="0" applyNumberFormat="1"/>
    <xf numFmtId="0" fontId="20" fillId="0" borderId="0" xfId="0" applyFont="1"/>
    <xf numFmtId="49" fontId="0" fillId="0" borderId="24" xfId="0" applyNumberFormat="1" applyBorder="1"/>
    <xf numFmtId="49" fontId="0" fillId="0" borderId="23" xfId="0" applyNumberFormat="1" applyBorder="1"/>
    <xf numFmtId="0" fontId="0" fillId="0" borderId="43" xfId="0" applyBorder="1" applyAlignment="1">
      <alignment wrapText="1"/>
    </xf>
    <xf numFmtId="0" fontId="2" fillId="2" borderId="0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0" xfId="0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2" fillId="5" borderId="30" xfId="4" applyBorder="1" applyAlignment="1">
      <alignment horizontal="center"/>
    </xf>
    <xf numFmtId="0" fontId="2" fillId="5" borderId="1" xfId="4" applyBorder="1" applyAlignment="1">
      <alignment horizontal="center"/>
    </xf>
    <xf numFmtId="0" fontId="0" fillId="0" borderId="9" xfId="0" applyBorder="1" applyAlignment="1">
      <alignment horizontal="center"/>
    </xf>
    <xf numFmtId="0" fontId="2" fillId="8" borderId="30" xfId="4" applyFill="1" applyBorder="1" applyAlignment="1">
      <alignment horizontal="center"/>
    </xf>
    <xf numFmtId="0" fontId="2" fillId="8" borderId="1" xfId="4" applyFill="1" applyBorder="1" applyAlignment="1">
      <alignment horizontal="center"/>
    </xf>
    <xf numFmtId="0" fontId="0" fillId="0" borderId="40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4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33" xfId="0" applyBorder="1" applyAlignment="1">
      <alignment horizontal="center" wrapText="1"/>
    </xf>
    <xf numFmtId="0" fontId="0" fillId="0" borderId="4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17" borderId="28" xfId="6" applyFont="1" applyFill="1" applyBorder="1" applyAlignment="1">
      <alignment horizontal="center"/>
    </xf>
    <xf numFmtId="0" fontId="6" fillId="17" borderId="65" xfId="6" applyFont="1" applyFill="1" applyBorder="1" applyAlignment="1">
      <alignment horizontal="center"/>
    </xf>
    <xf numFmtId="0" fontId="6" fillId="17" borderId="11" xfId="6" applyFont="1" applyFill="1" applyBorder="1" applyAlignment="1">
      <alignment horizontal="center"/>
    </xf>
    <xf numFmtId="0" fontId="6" fillId="14" borderId="28" xfId="5" applyFill="1" applyBorder="1" applyAlignment="1">
      <alignment horizontal="center"/>
    </xf>
    <xf numFmtId="0" fontId="6" fillId="14" borderId="65" xfId="5" applyFill="1" applyBorder="1" applyAlignment="1">
      <alignment horizontal="center"/>
    </xf>
    <xf numFmtId="0" fontId="6" fillId="14" borderId="11" xfId="5" applyFill="1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62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10" borderId="57" xfId="4" applyFont="1" applyFill="1" applyBorder="1" applyAlignment="1">
      <alignment horizontal="center"/>
    </xf>
    <xf numFmtId="0" fontId="6" fillId="10" borderId="58" xfId="4" applyFont="1" applyFill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10" borderId="59" xfId="4" applyFont="1" applyFill="1" applyBorder="1" applyAlignment="1">
      <alignment horizontal="center" wrapText="1"/>
    </xf>
    <xf numFmtId="0" fontId="18" fillId="10" borderId="55" xfId="4" applyFont="1" applyFill="1" applyBorder="1" applyAlignment="1">
      <alignment horizontal="center" wrapText="1"/>
    </xf>
    <xf numFmtId="0" fontId="18" fillId="10" borderId="60" xfId="4" applyFont="1" applyFill="1" applyBorder="1" applyAlignment="1">
      <alignment horizontal="center" wrapText="1"/>
    </xf>
    <xf numFmtId="0" fontId="18" fillId="10" borderId="56" xfId="4" applyFont="1" applyFill="1" applyBorder="1" applyAlignment="1">
      <alignment horizontal="center" wrapText="1"/>
    </xf>
    <xf numFmtId="0" fontId="18" fillId="10" borderId="0" xfId="4" applyFont="1" applyFill="1" applyBorder="1" applyAlignment="1">
      <alignment horizontal="center" wrapText="1"/>
    </xf>
    <xf numFmtId="0" fontId="18" fillId="10" borderId="14" xfId="4" applyFont="1" applyFill="1" applyBorder="1" applyAlignment="1">
      <alignment horizontal="center" wrapText="1"/>
    </xf>
    <xf numFmtId="0" fontId="18" fillId="10" borderId="49" xfId="4" applyFont="1" applyFill="1" applyBorder="1" applyAlignment="1">
      <alignment horizontal="center" wrapText="1"/>
    </xf>
    <xf numFmtId="0" fontId="18" fillId="10" borderId="2" xfId="4" applyFont="1" applyFill="1" applyBorder="1" applyAlignment="1">
      <alignment horizontal="center" wrapText="1"/>
    </xf>
    <xf numFmtId="0" fontId="18" fillId="10" borderId="13" xfId="4" applyFont="1" applyFill="1" applyBorder="1" applyAlignment="1">
      <alignment horizontal="center" wrapText="1"/>
    </xf>
    <xf numFmtId="0" fontId="0" fillId="0" borderId="50" xfId="0" applyBorder="1" applyAlignment="1">
      <alignment horizontal="right" vertical="center"/>
    </xf>
    <xf numFmtId="0" fontId="2" fillId="16" borderId="30" xfId="6" applyFill="1" applyBorder="1" applyAlignment="1">
      <alignment horizontal="center"/>
    </xf>
    <xf numFmtId="0" fontId="2" fillId="16" borderId="1" xfId="6" applyFill="1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13" borderId="30" xfId="4" applyFill="1" applyBorder="1" applyAlignment="1">
      <alignment horizontal="center"/>
    </xf>
    <xf numFmtId="0" fontId="2" fillId="13" borderId="1" xfId="4" applyFill="1" applyBorder="1" applyAlignment="1">
      <alignment horizontal="center"/>
    </xf>
    <xf numFmtId="0" fontId="2" fillId="15" borderId="30" xfId="6" applyFill="1" applyBorder="1" applyAlignment="1">
      <alignment horizontal="center"/>
    </xf>
    <xf numFmtId="0" fontId="2" fillId="15" borderId="1" xfId="6" applyFill="1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2" fillId="7" borderId="30" xfId="6" applyBorder="1" applyAlignment="1">
      <alignment horizontal="center"/>
    </xf>
    <xf numFmtId="0" fontId="2" fillId="7" borderId="1" xfId="6" applyBorder="1" applyAlignment="1">
      <alignment horizontal="center"/>
    </xf>
  </cellXfs>
  <cellStyles count="8">
    <cellStyle name="40% - Isticanje3" xfId="5" builtinId="39"/>
    <cellStyle name="Dobro" xfId="2" builtinId="26"/>
    <cellStyle name="Isticanje1" xfId="1" builtinId="29"/>
    <cellStyle name="Isticanje2" xfId="4" builtinId="33"/>
    <cellStyle name="Isticanje5" xfId="6" builtinId="45"/>
    <cellStyle name="Loše" xfId="3" builtinId="27"/>
    <cellStyle name="Normalno" xfId="0" builtinId="0"/>
    <cellStyle name="Postotak" xfId="7" builtinId="5"/>
  </cellStyles>
  <dxfs count="0"/>
  <tableStyles count="0" defaultTableStyle="TableStyleMedium2" defaultPivotStyle="PivotStyleLight16"/>
  <colors>
    <mruColors>
      <color rgb="FF9C0006"/>
      <color rgb="FF006100"/>
      <color rgb="FFFFC7CE"/>
      <color rgb="FFC6EFCE"/>
      <color rgb="FF949D9C"/>
      <color rgb="FF0066B2"/>
      <color rgb="FF415952"/>
      <color rgb="FF4EA72E"/>
      <color rgb="FF139ADA"/>
      <color rgb="FF5FB2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91AD-7009-4262-9BE2-DEB0E1FDE5A2}">
  <sheetPr>
    <pageSetUpPr fitToPage="1"/>
  </sheetPr>
  <dimension ref="A1:P32"/>
  <sheetViews>
    <sheetView tabSelected="1" zoomScaleNormal="100" workbookViewId="0">
      <selection activeCell="B23" sqref="B23"/>
    </sheetView>
  </sheetViews>
  <sheetFormatPr defaultRowHeight="16.5" x14ac:dyDescent="0.3"/>
  <cols>
    <col min="1" max="2" width="25.7109375" style="1" customWidth="1"/>
    <col min="3" max="4" width="20.7109375" style="1" customWidth="1"/>
    <col min="5" max="5" width="20.5703125" style="1" customWidth="1"/>
    <col min="6" max="7" width="20.7109375" style="1" customWidth="1"/>
    <col min="8" max="8" width="20.5703125" style="1" customWidth="1"/>
    <col min="9" max="9" width="20.7109375" style="1" customWidth="1"/>
    <col min="10" max="10" width="25.7109375" style="1" customWidth="1"/>
    <col min="11" max="11" width="35.7109375" style="1" customWidth="1"/>
    <col min="12" max="13" width="20.7109375" style="1" customWidth="1"/>
    <col min="14" max="14" width="25.7109375" style="1" customWidth="1"/>
    <col min="15" max="15" width="20.7109375" style="1" customWidth="1"/>
    <col min="16" max="16" width="25.7109375" style="1" customWidth="1"/>
    <col min="17" max="29" width="20.7109375" style="1" customWidth="1"/>
    <col min="30" max="16384" width="9.140625" style="1"/>
  </cols>
  <sheetData>
    <row r="1" spans="1:16" ht="16.5" customHeight="1" x14ac:dyDescent="0.3">
      <c r="A1" s="127" t="s">
        <v>118</v>
      </c>
      <c r="B1" s="127"/>
    </row>
    <row r="2" spans="1:16" ht="17.25" thickBot="1" x14ac:dyDescent="0.35">
      <c r="A2" s="2"/>
    </row>
    <row r="3" spans="1:16" ht="18" thickTop="1" thickBot="1" x14ac:dyDescent="0.35">
      <c r="A3" s="8" t="s">
        <v>119</v>
      </c>
      <c r="B3" s="128" t="s">
        <v>1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28" t="s">
        <v>77</v>
      </c>
      <c r="O3" s="8" t="s">
        <v>89</v>
      </c>
      <c r="P3" s="106" t="s">
        <v>119</v>
      </c>
    </row>
    <row r="4" spans="1:16" ht="17.25" thickTop="1" x14ac:dyDescent="0.3">
      <c r="A4" s="33" t="s">
        <v>38</v>
      </c>
      <c r="B4" s="6" t="s">
        <v>29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6" t="s">
        <v>29</v>
      </c>
      <c r="I4" s="6" t="s">
        <v>29</v>
      </c>
      <c r="J4" s="6" t="s">
        <v>29</v>
      </c>
      <c r="K4" s="7" t="s">
        <v>0</v>
      </c>
      <c r="L4" s="7" t="s">
        <v>0</v>
      </c>
      <c r="M4" s="9" t="s">
        <v>0</v>
      </c>
      <c r="N4" s="129" t="s">
        <v>38</v>
      </c>
      <c r="O4" s="130"/>
      <c r="P4" s="131"/>
    </row>
    <row r="5" spans="1:16" ht="17.25" thickBot="1" x14ac:dyDescent="0.35">
      <c r="A5" s="34" t="s">
        <v>87</v>
      </c>
      <c r="B5" s="3" t="s">
        <v>37</v>
      </c>
      <c r="C5" s="3" t="s">
        <v>31</v>
      </c>
      <c r="D5" s="3" t="s">
        <v>30</v>
      </c>
      <c r="E5" s="3" t="s">
        <v>32</v>
      </c>
      <c r="F5" s="3" t="s">
        <v>41</v>
      </c>
      <c r="G5" s="3" t="s">
        <v>127</v>
      </c>
      <c r="H5" s="3" t="s">
        <v>35</v>
      </c>
      <c r="I5" s="3" t="s">
        <v>36</v>
      </c>
      <c r="J5" s="3" t="s">
        <v>66</v>
      </c>
      <c r="K5" s="3" t="s">
        <v>128</v>
      </c>
      <c r="L5" s="3" t="s">
        <v>33</v>
      </c>
      <c r="M5" s="5" t="s">
        <v>34</v>
      </c>
      <c r="N5" s="132" t="s">
        <v>87</v>
      </c>
      <c r="O5" s="133"/>
      <c r="P5" s="134"/>
    </row>
    <row r="6" spans="1:16" x14ac:dyDescent="0.3">
      <c r="A6" s="66" t="s">
        <v>2</v>
      </c>
      <c r="B6" s="101">
        <v>7.5</v>
      </c>
      <c r="C6" s="101" cm="1">
        <f t="array" aca="1" ref="C6" ca="1">INDIRECT("'Pomoćni list'!" &amp; ADDRESS(19, ROW(A1) + 3, 4))</f>
        <v>9</v>
      </c>
      <c r="D6" s="101" cm="1">
        <f t="array" aca="1" ref="D6" ca="1">INDIRECT("'Pomoćni list'!" &amp; ADDRESS(50, ROW(A1) + 3, 4))</f>
        <v>45.050000000000004</v>
      </c>
      <c r="E6" s="101" cm="1">
        <f t="array" aca="1" ref="E6" ca="1">INDIRECT("'Pomoćni list'!" &amp; ADDRESS(77, ROW(A1) + 3, 4))</f>
        <v>125.5</v>
      </c>
      <c r="F6" s="101" cm="1">
        <f t="array" aca="1" ref="F6" ca="1">INDIRECT("'Pomoćni list'!" &amp; ADDRESS(93, ROW(A1) + 3, 4))</f>
        <v>7.6499999999999995</v>
      </c>
      <c r="G6" s="101" cm="1">
        <f t="array" aca="1" ref="G6" ca="1">INDIRECT("'Pomoćni list'!" &amp; ADDRESS(25, ROW(A1) + 3, 4))</f>
        <v>1.5</v>
      </c>
      <c r="H6" s="101">
        <v>7</v>
      </c>
      <c r="I6" s="101" cm="1">
        <f t="array" aca="1" ref="I6" ca="1">INDIRECT("'Pomoćni list'!" &amp; ADDRESS(100, ROW(A1) + 3, 4))</f>
        <v>6.17</v>
      </c>
      <c r="J6" s="101">
        <v>5</v>
      </c>
      <c r="K6" s="101" cm="1">
        <f t="array" aca="1" ref="K6" ca="1">INDIRECT("'Pomoćni list'!" &amp; ADDRESS(85, ROW(A1) + 3, 4))</f>
        <v>3.5</v>
      </c>
      <c r="L6" s="101" cm="1">
        <f t="array" aca="1" ref="L6" ca="1">INDIRECT("'Pomoćni list'!" &amp; ADDRESS(39, ROW(A1) + 3, 4))</f>
        <v>6.3</v>
      </c>
      <c r="M6" s="102">
        <v>1</v>
      </c>
      <c r="N6" s="103">
        <f ca="1">SUM(B6:J6)-SUM(K6:M6)</f>
        <v>203.57</v>
      </c>
      <c r="O6" s="76">
        <f ca="1">RANK(N6,$N$6:$N$32)</f>
        <v>1</v>
      </c>
      <c r="P6" s="107" t="s">
        <v>2</v>
      </c>
    </row>
    <row r="7" spans="1:16" x14ac:dyDescent="0.3">
      <c r="A7" s="10" t="s">
        <v>3</v>
      </c>
      <c r="B7" s="1">
        <v>8</v>
      </c>
      <c r="C7" s="1" cm="1">
        <f t="array" aca="1" ref="C7" ca="1">INDIRECT("'Pomoćni list'!" &amp; ADDRESS(19, ROW(A2) + 3, 4))</f>
        <v>6.5</v>
      </c>
      <c r="D7" s="1" cm="1">
        <f t="array" aca="1" ref="D7" ca="1">INDIRECT("'Pomoćni list'!" &amp; ADDRESS(50, ROW(A2) + 3, 4))</f>
        <v>47.38</v>
      </c>
      <c r="E7" s="1" cm="1">
        <f t="array" aca="1" ref="E7" ca="1">INDIRECT("'Pomoćni list'!" &amp; ADDRESS(77, ROW(A2) + 3, 4))</f>
        <v>91</v>
      </c>
      <c r="F7" s="1" cm="1">
        <f t="array" aca="1" ref="F7" ca="1">INDIRECT("'Pomoćni list'!" &amp; ADDRESS(93, ROW(A2) + 3, 4))</f>
        <v>6.75</v>
      </c>
      <c r="G7" s="1" cm="1">
        <f t="array" aca="1" ref="G7" ca="1">INDIRECT("'Pomoćni list'!" &amp; ADDRESS(25, ROW(A2) + 3, 4))</f>
        <v>1.2</v>
      </c>
      <c r="H7" s="1">
        <v>6.5</v>
      </c>
      <c r="I7" s="1" cm="1">
        <f t="array" aca="1" ref="I7" ca="1">INDIRECT("'Pomoćni list'!" &amp; ADDRESS(100, ROW(A2) + 3, 4))</f>
        <v>4.8</v>
      </c>
      <c r="J7" s="1">
        <v>6</v>
      </c>
      <c r="K7" s="1" cm="1">
        <f t="array" aca="1" ref="K7" ca="1">INDIRECT("'Pomoćni list'!" &amp; ADDRESS(85, ROW(A2) + 3, 4))</f>
        <v>3.75</v>
      </c>
      <c r="L7" s="1" cm="1">
        <f t="array" aca="1" ref="L7" ca="1">INDIRECT("'Pomoćni list'!" &amp; ADDRESS(39, ROW(A2) + 3, 4))</f>
        <v>3</v>
      </c>
      <c r="M7" s="4">
        <v>1</v>
      </c>
      <c r="N7" s="77">
        <f ca="1">SUM(B7:J7)-SUM(K7:M7)</f>
        <v>170.38</v>
      </c>
      <c r="O7" s="4">
        <f t="shared" ref="O7:O32" ca="1" si="0">RANK(N7,$N$6:$N$32)</f>
        <v>9</v>
      </c>
      <c r="P7" s="108" t="s">
        <v>3</v>
      </c>
    </row>
    <row r="8" spans="1:16" x14ac:dyDescent="0.3">
      <c r="A8" s="10" t="s">
        <v>4</v>
      </c>
      <c r="B8" s="1">
        <v>8</v>
      </c>
      <c r="C8" s="1" cm="1">
        <f t="array" aca="1" ref="C8" ca="1">INDIRECT("'Pomoćni list'!" &amp; ADDRESS(19, ROW(A3) + 3, 4))</f>
        <v>8.5</v>
      </c>
      <c r="D8" s="1" cm="1">
        <f t="array" aca="1" ref="D8" ca="1">INDIRECT("'Pomoćni list'!" &amp; ADDRESS(50, ROW(A3) + 3, 4))</f>
        <v>49.3</v>
      </c>
      <c r="E8" s="1" cm="1">
        <f t="array" aca="1" ref="E8" ca="1">INDIRECT("'Pomoćni list'!" &amp; ADDRESS(77, ROW(A3) + 3, 4))</f>
        <v>101.5</v>
      </c>
      <c r="F8" s="1" cm="1">
        <f t="array" aca="1" ref="F8" ca="1">INDIRECT("'Pomoćni list'!" &amp; ADDRESS(93, ROW(A3) + 3, 4))</f>
        <v>6.35</v>
      </c>
      <c r="G8" s="1" cm="1">
        <f t="array" aca="1" ref="G8" ca="1">INDIRECT("'Pomoćni list'!" &amp; ADDRESS(25, ROW(A3) + 3, 4))</f>
        <v>1.35</v>
      </c>
      <c r="H8" s="1">
        <v>6.5</v>
      </c>
      <c r="I8" s="1" cm="1">
        <f t="array" aca="1" ref="I8" ca="1">INDIRECT("'Pomoćni list'!" &amp; ADDRESS(100, ROW(A3) + 3, 4))</f>
        <v>4.5</v>
      </c>
      <c r="J8" s="1">
        <v>6</v>
      </c>
      <c r="K8" s="1" cm="1">
        <f t="array" aca="1" ref="K8" ca="1">INDIRECT("'Pomoćni list'!" &amp; ADDRESS(85, ROW(A3) + 3, 4))</f>
        <v>3.5</v>
      </c>
      <c r="L8" s="1" cm="1">
        <f t="array" aca="1" ref="L8" ca="1">INDIRECT("'Pomoćni list'!" &amp; ADDRESS(39, ROW(A3) + 3, 4))</f>
        <v>4.5</v>
      </c>
      <c r="M8" s="4">
        <v>1</v>
      </c>
      <c r="N8" s="77">
        <f t="shared" ref="N8:N32" ca="1" si="1">SUM(B8:J8)-SUM(K8:M8)</f>
        <v>183</v>
      </c>
      <c r="O8" s="4">
        <f t="shared" ca="1" si="0"/>
        <v>5</v>
      </c>
      <c r="P8" s="108" t="s">
        <v>4</v>
      </c>
    </row>
    <row r="9" spans="1:16" x14ac:dyDescent="0.3">
      <c r="A9" s="10" t="s">
        <v>5</v>
      </c>
      <c r="B9" s="1">
        <v>7.5</v>
      </c>
      <c r="C9" s="1" cm="1">
        <f t="array" aca="1" ref="C9" ca="1">INDIRECT("'Pomoćni list'!" &amp; ADDRESS(19, ROW(A4) + 3, 4))</f>
        <v>6</v>
      </c>
      <c r="D9" s="1" cm="1">
        <f t="array" aca="1" ref="D9" ca="1">INDIRECT("'Pomoćni list'!" &amp; ADDRESS(50, ROW(A4) + 3, 4))</f>
        <v>44.500000000000007</v>
      </c>
      <c r="E9" s="1" cm="1">
        <f t="array" aca="1" ref="E9" ca="1">INDIRECT("'Pomoćni list'!" &amp; ADDRESS(77, ROW(A4) + 3, 4))</f>
        <v>45.5</v>
      </c>
      <c r="F9" s="1" cm="1">
        <f t="array" aca="1" ref="F9" ca="1">INDIRECT("'Pomoćni list'!" &amp; ADDRESS(93, ROW(A4) + 3, 4))</f>
        <v>7.3000000000000007</v>
      </c>
      <c r="G9" s="1" cm="1">
        <f t="array" aca="1" ref="G9" ca="1">INDIRECT("'Pomoćni list'!" &amp; ADDRESS(25, ROW(A4) + 3, 4))</f>
        <v>1</v>
      </c>
      <c r="H9" s="1">
        <v>3.5</v>
      </c>
      <c r="I9" s="1" cm="1">
        <f t="array" aca="1" ref="I9" ca="1">INDIRECT("'Pomoćni list'!" &amp; ADDRESS(100, ROW(A4) + 3, 4))</f>
        <v>7.2800000000000011</v>
      </c>
      <c r="J9" s="1">
        <v>5</v>
      </c>
      <c r="K9" s="1" cm="1">
        <f t="array" aca="1" ref="K9" ca="1">INDIRECT("'Pomoćni list'!" &amp; ADDRESS(85, ROW(A4) + 3, 4))</f>
        <v>6.25</v>
      </c>
      <c r="L9" s="1" cm="1">
        <f t="array" aca="1" ref="L9" ca="1">INDIRECT("'Pomoćni list'!" &amp; ADDRESS(39, ROW(A4) + 3, 4))</f>
        <v>5</v>
      </c>
      <c r="M9" s="4">
        <v>6</v>
      </c>
      <c r="N9" s="77">
        <f t="shared" ca="1" si="1"/>
        <v>110.33</v>
      </c>
      <c r="O9" s="4">
        <f t="shared" ca="1" si="0"/>
        <v>21</v>
      </c>
      <c r="P9" s="108" t="s">
        <v>5</v>
      </c>
    </row>
    <row r="10" spans="1:16" x14ac:dyDescent="0.3">
      <c r="A10" s="10" t="s">
        <v>6</v>
      </c>
      <c r="B10" s="1">
        <v>7.5</v>
      </c>
      <c r="C10" s="1" cm="1">
        <f t="array" aca="1" ref="C10" ca="1">INDIRECT("'Pomoćni list'!" &amp; ADDRESS(19, ROW(A5) + 3, 4))</f>
        <v>7</v>
      </c>
      <c r="D10" s="1" cm="1">
        <f t="array" aca="1" ref="D10" ca="1">INDIRECT("'Pomoćni list'!" &amp; ADDRESS(50, ROW(A5) + 3, 4))</f>
        <v>46.9</v>
      </c>
      <c r="E10" s="1" cm="1">
        <f t="array" aca="1" ref="E10" ca="1">INDIRECT("'Pomoćni list'!" &amp; ADDRESS(77, ROW(A5) + 3, 4))</f>
        <v>116</v>
      </c>
      <c r="F10" s="1" cm="1">
        <f t="array" aca="1" ref="F10" ca="1">INDIRECT("'Pomoćni list'!" &amp; ADDRESS(93, ROW(A5) + 3, 4))</f>
        <v>4.25</v>
      </c>
      <c r="G10" s="1" cm="1">
        <f t="array" aca="1" ref="G10" ca="1">INDIRECT("'Pomoćni list'!" &amp; ADDRESS(25, ROW(A5) + 3, 4))</f>
        <v>2.5</v>
      </c>
      <c r="H10" s="1">
        <v>5</v>
      </c>
      <c r="I10" s="1" cm="1">
        <f t="array" aca="1" ref="I10" ca="1">INDIRECT("'Pomoćni list'!" &amp; ADDRESS(100, ROW(A5) + 3, 4))</f>
        <v>2.96</v>
      </c>
      <c r="J10" s="1">
        <v>4</v>
      </c>
      <c r="K10" s="1" cm="1">
        <f t="array" aca="1" ref="K10" ca="1">INDIRECT("'Pomoćni list'!" &amp; ADDRESS(85, ROW(A5) + 3, 4))</f>
        <v>6.5</v>
      </c>
      <c r="L10" s="1" cm="1">
        <f t="array" aca="1" ref="L10" ca="1">INDIRECT("'Pomoćni list'!" &amp; ADDRESS(39, ROW(A5) + 3, 4))</f>
        <v>7.5</v>
      </c>
      <c r="M10" s="4">
        <v>1.1000000000000001</v>
      </c>
      <c r="N10" s="77">
        <f t="shared" ca="1" si="1"/>
        <v>181.01000000000002</v>
      </c>
      <c r="O10" s="4">
        <f t="shared" ca="1" si="0"/>
        <v>6</v>
      </c>
      <c r="P10" s="108" t="s">
        <v>6</v>
      </c>
    </row>
    <row r="11" spans="1:16" x14ac:dyDescent="0.3">
      <c r="A11" s="10" t="s">
        <v>7</v>
      </c>
      <c r="B11" s="1">
        <v>8</v>
      </c>
      <c r="C11" s="1" cm="1">
        <f t="array" aca="1" ref="C11" ca="1">INDIRECT("'Pomoćni list'!" &amp; ADDRESS(19, ROW(A6) + 3, 4))</f>
        <v>6</v>
      </c>
      <c r="D11" s="1" cm="1">
        <f t="array" aca="1" ref="D11" ca="1">INDIRECT("'Pomoćni list'!" &amp; ADDRESS(50, ROW(A6) + 3, 4))</f>
        <v>50.000000000000007</v>
      </c>
      <c r="E11" s="1" cm="1">
        <f t="array" aca="1" ref="E11" ca="1">INDIRECT("'Pomoćni list'!" &amp; ADDRESS(77, ROW(A6) + 3, 4))</f>
        <v>108.5</v>
      </c>
      <c r="F11" s="1" cm="1">
        <f t="array" aca="1" ref="F11" ca="1">INDIRECT("'Pomoćni list'!" &amp; ADDRESS(93, ROW(A6) + 3, 4))</f>
        <v>6.4</v>
      </c>
      <c r="G11" s="1" cm="1">
        <f t="array" aca="1" ref="G11" ca="1">INDIRECT("'Pomoćni list'!" &amp; ADDRESS(25, ROW(A6) + 3, 4))</f>
        <v>1.5</v>
      </c>
      <c r="H11" s="1">
        <v>6</v>
      </c>
      <c r="I11" s="1" cm="1">
        <f t="array" aca="1" ref="I11" ca="1">INDIRECT("'Pomoćni list'!" &amp; ADDRESS(100, ROW(A6) + 3, 4))</f>
        <v>5.1400000000000006</v>
      </c>
      <c r="J11" s="1">
        <v>6</v>
      </c>
      <c r="K11" s="1" cm="1">
        <f t="array" aca="1" ref="K11" ca="1">INDIRECT("'Pomoćni list'!" &amp; ADDRESS(85, ROW(A6) + 3, 4))</f>
        <v>3.5</v>
      </c>
      <c r="L11" s="1" cm="1">
        <f t="array" aca="1" ref="L11" ca="1">INDIRECT("'Pomoćni list'!" &amp; ADDRESS(39, ROW(A6) + 3, 4))</f>
        <v>4.5</v>
      </c>
      <c r="M11" s="4">
        <v>1</v>
      </c>
      <c r="N11" s="77">
        <f t="shared" ca="1" si="1"/>
        <v>188.54000000000002</v>
      </c>
      <c r="O11" s="4">
        <f t="shared" ca="1" si="0"/>
        <v>4</v>
      </c>
      <c r="P11" s="108" t="s">
        <v>7</v>
      </c>
    </row>
    <row r="12" spans="1:16" x14ac:dyDescent="0.3">
      <c r="A12" s="10" t="s">
        <v>8</v>
      </c>
      <c r="B12" s="1">
        <v>8</v>
      </c>
      <c r="C12" s="1" cm="1">
        <f t="array" aca="1" ref="C12" ca="1">INDIRECT("'Pomoćni list'!" &amp; ADDRESS(19, ROW(A7) + 3, 4))</f>
        <v>4.5</v>
      </c>
      <c r="D12" s="1" cm="1">
        <f t="array" aca="1" ref="D12" ca="1">INDIRECT("'Pomoćni list'!" &amp; ADDRESS(50, ROW(A7) + 3, 4))</f>
        <v>47.300000000000004</v>
      </c>
      <c r="E12" s="1" cm="1">
        <f t="array" aca="1" ref="E12" ca="1">INDIRECT("'Pomoćni list'!" &amp; ADDRESS(77, ROW(A7) + 3, 4))</f>
        <v>40</v>
      </c>
      <c r="F12" s="1" cm="1">
        <f t="array" aca="1" ref="F12" ca="1">INDIRECT("'Pomoćni list'!" &amp; ADDRESS(93, ROW(A7) + 3, 4))</f>
        <v>6.75</v>
      </c>
      <c r="G12" s="1" cm="1">
        <f t="array" aca="1" ref="G12" ca="1">INDIRECT("'Pomoćni list'!" &amp; ADDRESS(25, ROW(A7) + 3, 4))</f>
        <v>1.1000000000000001</v>
      </c>
      <c r="H12" s="1">
        <v>5.5</v>
      </c>
      <c r="I12" s="1" cm="1">
        <f t="array" aca="1" ref="I12" ca="1">INDIRECT("'Pomoćni list'!" &amp; ADDRESS(100, ROW(A7) + 3, 4))</f>
        <v>5.05</v>
      </c>
      <c r="J12" s="1">
        <v>6</v>
      </c>
      <c r="K12" s="1" cm="1">
        <f t="array" aca="1" ref="K12" ca="1">INDIRECT("'Pomoćni list'!" &amp; ADDRESS(85, ROW(A7) + 3, 4))</f>
        <v>4.25</v>
      </c>
      <c r="L12" s="1" cm="1">
        <f t="array" aca="1" ref="L12" ca="1">INDIRECT("'Pomoćni list'!" &amp; ADDRESS(39, ROW(A7) + 3, 4))</f>
        <v>5</v>
      </c>
      <c r="M12" s="4">
        <v>1.25</v>
      </c>
      <c r="N12" s="77">
        <f t="shared" ca="1" si="1"/>
        <v>113.7</v>
      </c>
      <c r="O12" s="4">
        <f t="shared" ca="1" si="0"/>
        <v>19</v>
      </c>
      <c r="P12" s="108" t="s">
        <v>8</v>
      </c>
    </row>
    <row r="13" spans="1:16" x14ac:dyDescent="0.3">
      <c r="A13" s="10" t="s">
        <v>9</v>
      </c>
      <c r="B13" s="1">
        <v>7.5</v>
      </c>
      <c r="C13" s="1" cm="1">
        <f t="array" aca="1" ref="C13" ca="1">INDIRECT("'Pomoćni list'!" &amp; ADDRESS(19, ROW(A8) + 3, 4))</f>
        <v>6</v>
      </c>
      <c r="D13" s="1" cm="1">
        <f t="array" aca="1" ref="D13" ca="1">INDIRECT("'Pomoćni list'!" &amp; ADDRESS(50, ROW(A8) + 3, 4))</f>
        <v>44.4</v>
      </c>
      <c r="E13" s="1" cm="1">
        <f t="array" aca="1" ref="E13" ca="1">INDIRECT("'Pomoćni list'!" &amp; ADDRESS(77, ROW(A8) + 3, 4))</f>
        <v>27.5</v>
      </c>
      <c r="F13" s="1" cm="1">
        <f t="array" aca="1" ref="F13" ca="1">INDIRECT("'Pomoćni list'!" &amp; ADDRESS(93, ROW(A8) + 3, 4))</f>
        <v>7.1099999999999994</v>
      </c>
      <c r="G13" s="1" cm="1">
        <f t="array" aca="1" ref="G13" ca="1">INDIRECT("'Pomoćni list'!" &amp; ADDRESS(25, ROW(A8) + 3, 4))</f>
        <v>1.1000000000000001</v>
      </c>
      <c r="H13" s="1">
        <v>5.5</v>
      </c>
      <c r="I13" s="1" cm="1">
        <f t="array" aca="1" ref="I13" ca="1">INDIRECT("'Pomoćni list'!" &amp; ADDRESS(100, ROW(A8) + 3, 4))</f>
        <v>6.4539999999999997</v>
      </c>
      <c r="J13" s="1">
        <v>6</v>
      </c>
      <c r="K13" s="1" cm="1">
        <f t="array" aca="1" ref="K13" ca="1">INDIRECT("'Pomoćni list'!" &amp; ADDRESS(85, ROW(A8) + 3, 4))</f>
        <v>5.25</v>
      </c>
      <c r="L13" s="1" cm="1">
        <f t="array" aca="1" ref="L13" ca="1">INDIRECT("'Pomoćni list'!" &amp; ADDRESS(39, ROW(A8) + 3, 4))</f>
        <v>5</v>
      </c>
      <c r="M13" s="4">
        <v>1.25</v>
      </c>
      <c r="N13" s="77">
        <f t="shared" ca="1" si="1"/>
        <v>100.06399999999999</v>
      </c>
      <c r="O13" s="4">
        <f t="shared" ca="1" si="0"/>
        <v>24</v>
      </c>
      <c r="P13" s="108" t="s">
        <v>9</v>
      </c>
    </row>
    <row r="14" spans="1:16" x14ac:dyDescent="0.3">
      <c r="A14" s="10" t="s">
        <v>10</v>
      </c>
      <c r="B14" s="1">
        <v>8</v>
      </c>
      <c r="C14" s="1" cm="1">
        <f t="array" aca="1" ref="C14" ca="1">INDIRECT("'Pomoćni list'!" &amp; ADDRESS(19, ROW(A9) + 3, 4))</f>
        <v>6.5</v>
      </c>
      <c r="D14" s="1" cm="1">
        <f t="array" aca="1" ref="D14" ca="1">INDIRECT("'Pomoćni list'!" &amp; ADDRESS(50, ROW(A9) + 3, 4))</f>
        <v>47.300000000000011</v>
      </c>
      <c r="E14" s="1" cm="1">
        <f t="array" aca="1" ref="E14" ca="1">INDIRECT("'Pomoćni list'!" &amp; ADDRESS(77, ROW(A9) + 3, 4))</f>
        <v>48.5</v>
      </c>
      <c r="F14" s="1" cm="1">
        <f t="array" aca="1" ref="F14" ca="1">INDIRECT("'Pomoćni list'!" &amp; ADDRESS(93, ROW(A9) + 3, 4))</f>
        <v>5.76</v>
      </c>
      <c r="G14" s="1" cm="1">
        <f t="array" aca="1" ref="G14" ca="1">INDIRECT("'Pomoćni list'!" &amp; ADDRESS(25, ROW(A9) + 3, 4))</f>
        <v>1.35</v>
      </c>
      <c r="H14" s="1">
        <v>9</v>
      </c>
      <c r="I14" s="1" cm="1">
        <f t="array" aca="1" ref="I14" ca="1">INDIRECT("'Pomoćni list'!" &amp; ADDRESS(100, ROW(A9) + 3, 4))</f>
        <v>1</v>
      </c>
      <c r="J14" s="1">
        <v>6</v>
      </c>
      <c r="K14" s="1" cm="1">
        <f t="array" aca="1" ref="K14" ca="1">INDIRECT("'Pomoćni list'!" &amp; ADDRESS(85, ROW(A9) + 3, 4))</f>
        <v>0.5</v>
      </c>
      <c r="L14" s="1" cm="1">
        <f t="array" aca="1" ref="L14" ca="1">INDIRECT("'Pomoćni list'!" &amp; ADDRESS(39, ROW(A9) + 3, 4))</f>
        <v>2.5</v>
      </c>
      <c r="M14" s="4">
        <v>1</v>
      </c>
      <c r="N14" s="77">
        <f t="shared" ca="1" si="1"/>
        <v>129.41000000000003</v>
      </c>
      <c r="O14" s="4">
        <f t="shared" ca="1" si="0"/>
        <v>14</v>
      </c>
      <c r="P14" s="108" t="s">
        <v>10</v>
      </c>
    </row>
    <row r="15" spans="1:16" x14ac:dyDescent="0.3">
      <c r="A15" s="10" t="s">
        <v>11</v>
      </c>
      <c r="B15" s="1">
        <v>8</v>
      </c>
      <c r="C15" s="1" cm="1">
        <f t="array" aca="1" ref="C15" ca="1">INDIRECT("'Pomoćni list'!" &amp; ADDRESS(19, ROW(A10) + 3, 4))</f>
        <v>9</v>
      </c>
      <c r="D15" s="1" cm="1">
        <f t="array" aca="1" ref="D15" ca="1">INDIRECT("'Pomoćni list'!" &amp; ADDRESS(50, ROW(A10) + 3, 4))</f>
        <v>45.800000000000004</v>
      </c>
      <c r="E15" s="1" cm="1">
        <f t="array" aca="1" ref="E15" ca="1">INDIRECT("'Pomoćni list'!" &amp; ADDRESS(77, ROW(A10) + 3, 4))</f>
        <v>98.5</v>
      </c>
      <c r="F15" s="1" cm="1">
        <f t="array" aca="1" ref="F15" ca="1">INDIRECT("'Pomoćni list'!" &amp; ADDRESS(93, ROW(A10) + 3, 4))</f>
        <v>5.8250000000000002</v>
      </c>
      <c r="G15" s="1" cm="1">
        <f t="array" aca="1" ref="G15" ca="1">INDIRECT("'Pomoćni list'!" &amp; ADDRESS(25, ROW(A10) + 3, 4))</f>
        <v>1</v>
      </c>
      <c r="H15" s="1">
        <v>10</v>
      </c>
      <c r="I15" s="1" cm="1">
        <f t="array" aca="1" ref="I15" ca="1">INDIRECT("'Pomoćni list'!" &amp; ADDRESS(100, ROW(A10) + 3, 4))</f>
        <v>1.4900000000000002</v>
      </c>
      <c r="J15" s="1">
        <v>5.5</v>
      </c>
      <c r="K15" s="1" cm="1">
        <f t="array" aca="1" ref="K15" ca="1">INDIRECT("'Pomoćni list'!" &amp; ADDRESS(85, ROW(A10) + 3, 4))</f>
        <v>1.5</v>
      </c>
      <c r="L15" s="1" cm="1">
        <f t="array" aca="1" ref="L15" ca="1">INDIRECT("'Pomoćni list'!" &amp; ADDRESS(39, ROW(A10) + 3, 4))</f>
        <v>3.8</v>
      </c>
      <c r="M15" s="4">
        <v>1.5</v>
      </c>
      <c r="N15" s="77">
        <f t="shared" ca="1" si="1"/>
        <v>178.315</v>
      </c>
      <c r="O15" s="4">
        <f t="shared" ca="1" si="0"/>
        <v>7</v>
      </c>
      <c r="P15" s="108" t="s">
        <v>11</v>
      </c>
    </row>
    <row r="16" spans="1:16" x14ac:dyDescent="0.3">
      <c r="A16" s="10" t="s">
        <v>12</v>
      </c>
      <c r="B16" s="1">
        <v>7.5</v>
      </c>
      <c r="C16" s="1" cm="1">
        <f t="array" aca="1" ref="C16" ca="1">INDIRECT("'Pomoćni list'!" &amp; ADDRESS(19, ROW(A11) + 3, 4))</f>
        <v>7</v>
      </c>
      <c r="D16" s="1" cm="1">
        <f t="array" aca="1" ref="D16" ca="1">INDIRECT("'Pomoćni list'!" &amp; ADDRESS(50, ROW(A11) + 3, 4))</f>
        <v>48.300000000000004</v>
      </c>
      <c r="E16" s="1" cm="1">
        <f t="array" aca="1" ref="E16" ca="1">INDIRECT("'Pomoćni list'!" &amp; ADDRESS(77, ROW(A11) + 3, 4))</f>
        <v>116</v>
      </c>
      <c r="F16" s="1" cm="1">
        <f t="array" aca="1" ref="F16" ca="1">INDIRECT("'Pomoćni list'!" &amp; ADDRESS(93, ROW(A11) + 3, 4))</f>
        <v>4.5</v>
      </c>
      <c r="G16" s="1" cm="1">
        <f t="array" aca="1" ref="G16" ca="1">INDIRECT("'Pomoćni list'!" &amp; ADDRESS(25, ROW(A11) + 3, 4))</f>
        <v>1.5</v>
      </c>
      <c r="H16" s="1">
        <v>6</v>
      </c>
      <c r="I16" s="1" cm="1">
        <f t="array" aca="1" ref="I16" ca="1">INDIRECT("'Pomoćni list'!" &amp; ADDRESS(100, ROW(A11) + 3, 4))</f>
        <v>5.1999999999999993</v>
      </c>
      <c r="J16" s="1">
        <v>4.5</v>
      </c>
      <c r="K16" s="1" cm="1">
        <f t="array" aca="1" ref="K16" ca="1">INDIRECT("'Pomoćni list'!" &amp; ADDRESS(85, ROW(A11) + 3, 4))</f>
        <v>4.5</v>
      </c>
      <c r="L16" s="1" cm="1">
        <f t="array" aca="1" ref="L16" ca="1">INDIRECT("'Pomoćni list'!" &amp; ADDRESS(39, ROW(A11) + 3, 4))</f>
        <v>5</v>
      </c>
      <c r="M16" s="4">
        <v>1.1000000000000001</v>
      </c>
      <c r="N16" s="77">
        <f t="shared" ca="1" si="1"/>
        <v>189.9</v>
      </c>
      <c r="O16" s="4">
        <f t="shared" ca="1" si="0"/>
        <v>3</v>
      </c>
      <c r="P16" s="108" t="s">
        <v>12</v>
      </c>
    </row>
    <row r="17" spans="1:16" x14ac:dyDescent="0.3">
      <c r="A17" s="10" t="s">
        <v>13</v>
      </c>
      <c r="B17" s="1">
        <v>7.5</v>
      </c>
      <c r="C17" s="1" cm="1">
        <f t="array" aca="1" ref="C17" ca="1">INDIRECT("'Pomoćni list'!" &amp; ADDRESS(19, ROW(A12) + 3, 4))</f>
        <v>8</v>
      </c>
      <c r="D17" s="1" cm="1">
        <f t="array" aca="1" ref="D17" ca="1">INDIRECT("'Pomoćni list'!" &amp; ADDRESS(50, ROW(A12) + 3, 4))</f>
        <v>43.8</v>
      </c>
      <c r="E17" s="1" cm="1">
        <f t="array" aca="1" ref="E17" ca="1">INDIRECT("'Pomoćni list'!" &amp; ADDRESS(77, ROW(A12) + 3, 4))</f>
        <v>72.5</v>
      </c>
      <c r="F17" s="1" cm="1">
        <f t="array" aca="1" ref="F17" ca="1">INDIRECT("'Pomoćni list'!" &amp; ADDRESS(93, ROW(A12) + 3, 4))</f>
        <v>7.2</v>
      </c>
      <c r="G17" s="1" cm="1">
        <f t="array" aca="1" ref="G17" ca="1">INDIRECT("'Pomoćni list'!" &amp; ADDRESS(25, ROW(A12) + 3, 4))</f>
        <v>1</v>
      </c>
      <c r="H17" s="1">
        <v>4.5</v>
      </c>
      <c r="I17" s="1" cm="1">
        <f t="array" aca="1" ref="I17" ca="1">INDIRECT("'Pomoćni list'!" &amp; ADDRESS(100, ROW(A12) + 3, 4))</f>
        <v>6.9</v>
      </c>
      <c r="J17" s="1">
        <v>8</v>
      </c>
      <c r="K17" s="1" cm="1">
        <f t="array" aca="1" ref="K17" ca="1">INDIRECT("'Pomoćni list'!" &amp; ADDRESS(85, ROW(A12) + 3, 4))</f>
        <v>5.25</v>
      </c>
      <c r="L17" s="1" cm="1">
        <f t="array" aca="1" ref="L17" ca="1">INDIRECT("'Pomoćni list'!" &amp; ADDRESS(39, ROW(A12) + 3, 4))</f>
        <v>7.25</v>
      </c>
      <c r="M17" s="4">
        <v>2.5</v>
      </c>
      <c r="N17" s="77">
        <f t="shared" ca="1" si="1"/>
        <v>144.4</v>
      </c>
      <c r="O17" s="4">
        <f t="shared" ca="1" si="0"/>
        <v>12</v>
      </c>
      <c r="P17" s="108" t="s">
        <v>13</v>
      </c>
    </row>
    <row r="18" spans="1:16" x14ac:dyDescent="0.3">
      <c r="A18" s="10" t="s">
        <v>14</v>
      </c>
      <c r="B18" s="1">
        <v>7.5</v>
      </c>
      <c r="C18" s="1" cm="1">
        <f t="array" aca="1" ref="C18" ca="1">INDIRECT("'Pomoćni list'!" &amp; ADDRESS(19, ROW(A13) + 3, 4))</f>
        <v>8</v>
      </c>
      <c r="D18" s="1" cm="1">
        <f t="array" aca="1" ref="D18" ca="1">INDIRECT("'Pomoćni list'!" &amp; ADDRESS(50, ROW(A13) + 3, 4))</f>
        <v>34.15</v>
      </c>
      <c r="E18" s="1" cm="1">
        <f t="array" aca="1" ref="E18" ca="1">INDIRECT("'Pomoćni list'!" &amp; ADDRESS(77, ROW(A13) + 3, 4))</f>
        <v>37</v>
      </c>
      <c r="F18" s="1" cm="1">
        <f t="array" aca="1" ref="F18" ca="1">INDIRECT("'Pomoćni list'!" &amp; ADDRESS(93, ROW(A13) + 3, 4))</f>
        <v>7</v>
      </c>
      <c r="G18" s="1" cm="1">
        <f t="array" aca="1" ref="G18" ca="1">INDIRECT("'Pomoćni list'!" &amp; ADDRESS(25, ROW(A13) + 3, 4))</f>
        <v>1.6</v>
      </c>
      <c r="H18" s="1">
        <v>10</v>
      </c>
      <c r="I18" s="1" cm="1">
        <f t="array" aca="1" ref="I18" ca="1">INDIRECT("'Pomoćni list'!" &amp; ADDRESS(100, ROW(A13) + 3, 4))</f>
        <v>4.8</v>
      </c>
      <c r="J18" s="1">
        <v>5.5</v>
      </c>
      <c r="K18" s="1" cm="1">
        <f t="array" aca="1" ref="K18" ca="1">INDIRECT("'Pomoćni list'!" &amp; ADDRESS(85, ROW(A13) + 3, 4))</f>
        <v>3</v>
      </c>
      <c r="L18" s="1" cm="1">
        <f t="array" aca="1" ref="L18" ca="1">INDIRECT("'Pomoćni list'!" &amp; ADDRESS(39, ROW(A13) + 3, 4))</f>
        <v>4.2</v>
      </c>
      <c r="M18" s="4">
        <v>1</v>
      </c>
      <c r="N18" s="77">
        <f t="shared" ca="1" si="1"/>
        <v>107.35</v>
      </c>
      <c r="O18" s="4">
        <f t="shared" ca="1" si="0"/>
        <v>22</v>
      </c>
      <c r="P18" s="108" t="s">
        <v>14</v>
      </c>
    </row>
    <row r="19" spans="1:16" x14ac:dyDescent="0.3">
      <c r="A19" s="10" t="s">
        <v>15</v>
      </c>
      <c r="B19" s="1">
        <v>8</v>
      </c>
      <c r="C19" s="1" cm="1">
        <f t="array" aca="1" ref="C19" ca="1">INDIRECT("'Pomoćni list'!" &amp; ADDRESS(19, ROW(A14) + 3, 4))</f>
        <v>7.5</v>
      </c>
      <c r="D19" s="1" cm="1">
        <f t="array" aca="1" ref="D19" ca="1">INDIRECT("'Pomoćni list'!" &amp; ADDRESS(50, ROW(A14) + 3, 4))</f>
        <v>49.35</v>
      </c>
      <c r="E19" s="1" cm="1">
        <f t="array" aca="1" ref="E19" ca="1">INDIRECT("'Pomoćni list'!" &amp; ADDRESS(77, ROW(A14) + 3, 4))</f>
        <v>82</v>
      </c>
      <c r="F19" s="1" cm="1">
        <f t="array" aca="1" ref="F19" ca="1">INDIRECT("'Pomoćni list'!" &amp; ADDRESS(93, ROW(A14) + 3, 4))</f>
        <v>5.6000000000000005</v>
      </c>
      <c r="G19" s="1" cm="1">
        <f t="array" aca="1" ref="G19" ca="1">INDIRECT("'Pomoćni list'!" &amp; ADDRESS(25, ROW(A14) + 3, 4))</f>
        <v>2.5</v>
      </c>
      <c r="H19" s="1">
        <v>8.5</v>
      </c>
      <c r="I19" s="1" cm="1">
        <f t="array" aca="1" ref="I19" ca="1">INDIRECT("'Pomoćni list'!" &amp; ADDRESS(100, ROW(A14) + 3, 4))</f>
        <v>6.6000000000000005</v>
      </c>
      <c r="J19" s="1">
        <v>5</v>
      </c>
      <c r="K19" s="1" cm="1">
        <f t="array" aca="1" ref="K19" ca="1">INDIRECT("'Pomoćni list'!" &amp; ADDRESS(85, ROW(A14) + 3, 4))</f>
        <v>1.5</v>
      </c>
      <c r="L19" s="1" cm="1">
        <f t="array" aca="1" ref="L19" ca="1">INDIRECT("'Pomoćni list'!" &amp; ADDRESS(39, ROW(A14) + 3, 4))</f>
        <v>6</v>
      </c>
      <c r="M19" s="4">
        <v>1</v>
      </c>
      <c r="N19" s="77">
        <f t="shared" ca="1" si="1"/>
        <v>166.54999999999998</v>
      </c>
      <c r="O19" s="4">
        <f t="shared" ca="1" si="0"/>
        <v>10</v>
      </c>
      <c r="P19" s="108" t="s">
        <v>15</v>
      </c>
    </row>
    <row r="20" spans="1:16" x14ac:dyDescent="0.3">
      <c r="A20" s="10" t="s">
        <v>16</v>
      </c>
      <c r="B20" s="1">
        <v>7.5</v>
      </c>
      <c r="C20" s="1" cm="1">
        <f t="array" aca="1" ref="C20" ca="1">INDIRECT("'Pomoćni list'!" &amp; ADDRESS(19, ROW(A15) + 3, 4))</f>
        <v>5.5</v>
      </c>
      <c r="D20" s="1" cm="1">
        <f t="array" aca="1" ref="D20" ca="1">INDIRECT("'Pomoćni list'!" &amp; ADDRESS(50, ROW(A15) + 3, 4))</f>
        <v>46.4</v>
      </c>
      <c r="E20" s="1" cm="1">
        <f t="array" aca="1" ref="E20" ca="1">INDIRECT("'Pomoćni list'!" &amp; ADDRESS(77, ROW(A15) + 3, 4))</f>
        <v>61</v>
      </c>
      <c r="F20" s="1" cm="1">
        <f t="array" aca="1" ref="F20" ca="1">INDIRECT("'Pomoćni list'!" &amp; ADDRESS(93, ROW(A15) + 3, 4))</f>
        <v>7.4</v>
      </c>
      <c r="G20" s="1" cm="1">
        <f t="array" aca="1" ref="G20" ca="1">INDIRECT("'Pomoćni list'!" &amp; ADDRESS(25, ROW(A15) + 3, 4))</f>
        <v>1</v>
      </c>
      <c r="H20" s="1">
        <v>3.5</v>
      </c>
      <c r="I20" s="1" cm="1">
        <f t="array" aca="1" ref="I20" ca="1">INDIRECT("'Pomoćni list'!" &amp; ADDRESS(100, ROW(A15) + 3, 4))</f>
        <v>8.1000000000000014</v>
      </c>
      <c r="J20" s="1">
        <v>5.5</v>
      </c>
      <c r="K20" s="1" cm="1">
        <f t="array" aca="1" ref="K20" ca="1">INDIRECT("'Pomoćni list'!" &amp; ADDRESS(85, ROW(A15) + 3, 4))</f>
        <v>7</v>
      </c>
      <c r="L20" s="1" cm="1">
        <f t="array" aca="1" ref="L20" ca="1">INDIRECT("'Pomoćni list'!" &amp; ADDRESS(39, ROW(A15) + 3, 4))</f>
        <v>5.7</v>
      </c>
      <c r="M20" s="4">
        <v>5</v>
      </c>
      <c r="N20" s="77">
        <f t="shared" ca="1" si="1"/>
        <v>128.20000000000002</v>
      </c>
      <c r="O20" s="4">
        <f t="shared" ca="1" si="0"/>
        <v>16</v>
      </c>
      <c r="P20" s="108" t="s">
        <v>16</v>
      </c>
    </row>
    <row r="21" spans="1:16" x14ac:dyDescent="0.3">
      <c r="A21" s="10" t="s">
        <v>17</v>
      </c>
      <c r="B21" s="1">
        <v>8</v>
      </c>
      <c r="C21" s="1" cm="1">
        <f t="array" aca="1" ref="C21" ca="1">INDIRECT("'Pomoćni list'!" &amp; ADDRESS(19, ROW(A16) + 3, 4))</f>
        <v>6</v>
      </c>
      <c r="D21" s="1" cm="1">
        <f t="array" aca="1" ref="D21" ca="1">INDIRECT("'Pomoćni list'!" &amp; ADDRESS(50, ROW(A16) + 3, 4))</f>
        <v>48</v>
      </c>
      <c r="E21" s="1" cm="1">
        <f t="array" aca="1" ref="E21" ca="1">INDIRECT("'Pomoćni list'!" &amp; ADDRESS(77, ROW(A16) + 3, 4))</f>
        <v>20</v>
      </c>
      <c r="F21" s="1" cm="1">
        <f t="array" aca="1" ref="F21" ca="1">INDIRECT("'Pomoćni list'!" &amp; ADDRESS(93, ROW(A16) + 3, 4))</f>
        <v>5.75</v>
      </c>
      <c r="G21" s="1" cm="1">
        <f t="array" aca="1" ref="G21" ca="1">INDIRECT("'Pomoćni list'!" &amp; ADDRESS(25, ROW(A16) + 3, 4))</f>
        <v>1.35</v>
      </c>
      <c r="H21" s="1">
        <v>9</v>
      </c>
      <c r="I21" s="1" cm="1">
        <f t="array" aca="1" ref="I21" ca="1">INDIRECT("'Pomoćni list'!" &amp; ADDRESS(100, ROW(A16) + 3, 4))</f>
        <v>1</v>
      </c>
      <c r="J21" s="1">
        <v>6</v>
      </c>
      <c r="K21" s="1" cm="1">
        <f t="array" aca="1" ref="K21" ca="1">INDIRECT("'Pomoćni list'!" &amp; ADDRESS(85, ROW(A16) + 3, 4))</f>
        <v>0.5</v>
      </c>
      <c r="L21" s="1" cm="1">
        <f t="array" aca="1" ref="L21" ca="1">INDIRECT("'Pomoćni list'!" &amp; ADDRESS(39, ROW(A16) + 3, 4))</f>
        <v>2.5</v>
      </c>
      <c r="M21" s="4">
        <v>1</v>
      </c>
      <c r="N21" s="77">
        <f t="shared" ca="1" si="1"/>
        <v>101.1</v>
      </c>
      <c r="O21" s="4">
        <f t="shared" ca="1" si="0"/>
        <v>23</v>
      </c>
      <c r="P21" s="108" t="s">
        <v>17</v>
      </c>
    </row>
    <row r="22" spans="1:16" x14ac:dyDescent="0.3">
      <c r="A22" s="10" t="s">
        <v>18</v>
      </c>
      <c r="B22" s="1">
        <v>8</v>
      </c>
      <c r="C22" s="1" cm="1">
        <f t="array" aca="1" ref="C22" ca="1">INDIRECT("'Pomoćni list'!" &amp; ADDRESS(19, ROW(A17) + 3, 4))</f>
        <v>5.5</v>
      </c>
      <c r="D22" s="1" cm="1">
        <f t="array" aca="1" ref="D22" ca="1">INDIRECT("'Pomoćni list'!" &amp; ADDRESS(50, ROW(A17) + 3, 4))</f>
        <v>49.699999999999996</v>
      </c>
      <c r="E22" s="1" cm="1">
        <f t="array" aca="1" ref="E22" ca="1">INDIRECT("'Pomoćni list'!" &amp; ADDRESS(77, ROW(A17) + 3, 4))</f>
        <v>53</v>
      </c>
      <c r="F22" s="1" cm="1">
        <f t="array" aca="1" ref="F22" ca="1">INDIRECT("'Pomoćni list'!" &amp; ADDRESS(93, ROW(A17) + 3, 4))</f>
        <v>6.05</v>
      </c>
      <c r="G22" s="1" cm="1">
        <f t="array" aca="1" ref="G22" ca="1">INDIRECT("'Pomoćni list'!" &amp; ADDRESS(25, ROW(A17) + 3, 4))</f>
        <v>1.5</v>
      </c>
      <c r="H22" s="1">
        <v>7.5</v>
      </c>
      <c r="I22" s="1" cm="1">
        <f t="array" aca="1" ref="I22" ca="1">INDIRECT("'Pomoćni list'!" &amp; ADDRESS(100, ROW(A17) + 3, 4))</f>
        <v>2.46</v>
      </c>
      <c r="J22" s="1">
        <v>7</v>
      </c>
      <c r="K22" s="1" cm="1">
        <f t="array" aca="1" ref="K22" ca="1">INDIRECT("'Pomoćni list'!" &amp; ADDRESS(85, ROW(A17) + 3, 4))</f>
        <v>2.25</v>
      </c>
      <c r="L22" s="1" cm="1">
        <f t="array" aca="1" ref="L22" ca="1">INDIRECT("'Pomoćni list'!" &amp; ADDRESS(39, ROW(A17) + 3, 4))</f>
        <v>3</v>
      </c>
      <c r="M22" s="4">
        <v>1</v>
      </c>
      <c r="N22" s="77">
        <f t="shared" ca="1" si="1"/>
        <v>134.46</v>
      </c>
      <c r="O22" s="4">
        <f t="shared" ca="1" si="0"/>
        <v>13</v>
      </c>
      <c r="P22" s="108" t="s">
        <v>18</v>
      </c>
    </row>
    <row r="23" spans="1:16" x14ac:dyDescent="0.3">
      <c r="A23" s="10" t="s">
        <v>19</v>
      </c>
      <c r="B23" s="1">
        <v>8</v>
      </c>
      <c r="C23" s="1" cm="1">
        <f t="array" aca="1" ref="C23" ca="1">INDIRECT("'Pomoćni list'!" &amp; ADDRESS(19, ROW(A18) + 3, 4))</f>
        <v>7.5</v>
      </c>
      <c r="D23" s="1" cm="1">
        <f t="array" aca="1" ref="D23" ca="1">INDIRECT("'Pomoćni list'!" &amp; ADDRESS(50, ROW(A18) + 3, 4))</f>
        <v>46.3</v>
      </c>
      <c r="E23" s="1" cm="1">
        <f t="array" aca="1" ref="E23" ca="1">INDIRECT("'Pomoćni list'!" &amp; ADDRESS(77, ROW(A18) + 3, 4))</f>
        <v>43.5</v>
      </c>
      <c r="F23" s="1" cm="1">
        <f t="array" aca="1" ref="F23" ca="1">INDIRECT("'Pomoćni list'!" &amp; ADDRESS(93, ROW(A18) + 3, 4))</f>
        <v>5.3000000000000007</v>
      </c>
      <c r="G23" s="1" cm="1">
        <f t="array" aca="1" ref="G23" ca="1">INDIRECT("'Pomoćni list'!" &amp; ADDRESS(25, ROW(A18) + 3, 4))</f>
        <v>1.2</v>
      </c>
      <c r="H23" s="1">
        <v>9</v>
      </c>
      <c r="I23" s="1" cm="1">
        <f t="array" aca="1" ref="I23" ca="1">INDIRECT("'Pomoćni list'!" &amp; ADDRESS(100, ROW(A18) + 3, 4))</f>
        <v>1</v>
      </c>
      <c r="J23" s="1">
        <v>6</v>
      </c>
      <c r="K23" s="1" cm="1">
        <f t="array" aca="1" ref="K23" ca="1">INDIRECT("'Pomoćni list'!" &amp; ADDRESS(85, ROW(A18) + 3, 4))</f>
        <v>0.5</v>
      </c>
      <c r="L23" s="1" cm="1">
        <f t="array" aca="1" ref="L23" ca="1">INDIRECT("'Pomoćni list'!" &amp; ADDRESS(39, ROW(A18) + 3, 4))</f>
        <v>5</v>
      </c>
      <c r="M23" s="4">
        <v>1.5</v>
      </c>
      <c r="N23" s="77">
        <f t="shared" ca="1" si="1"/>
        <v>120.8</v>
      </c>
      <c r="O23" s="4">
        <f t="shared" ca="1" si="0"/>
        <v>18</v>
      </c>
      <c r="P23" s="108" t="s">
        <v>19</v>
      </c>
    </row>
    <row r="24" spans="1:16" x14ac:dyDescent="0.3">
      <c r="A24" s="89" t="s">
        <v>20</v>
      </c>
      <c r="B24" s="90">
        <v>7.5</v>
      </c>
      <c r="C24" s="90" cm="1">
        <f t="array" aca="1" ref="C24" ca="1">INDIRECT("'Pomoćni list'!" &amp; ADDRESS(19, ROW(A19) + 3, 4))</f>
        <v>5</v>
      </c>
      <c r="D24" s="98" cm="1">
        <f t="array" aca="1" ref="D24" ca="1">INDIRECT("'Pomoćni list'!" &amp; ADDRESS(50, ROW(A19) + 3, 4))</f>
        <v>35.950000000000003</v>
      </c>
      <c r="E24" s="98" cm="1">
        <f t="array" aca="1" ref="E24" ca="1">INDIRECT("'Pomoćni list'!" &amp; ADDRESS(77, ROW(A19) + 3, 4))</f>
        <v>11</v>
      </c>
      <c r="F24" s="98" cm="1">
        <f t="array" aca="1" ref="F24" ca="1">INDIRECT("'Pomoćni list'!" &amp; ADDRESS(93, ROW(A19) + 3, 4))</f>
        <v>8.4</v>
      </c>
      <c r="G24" s="98" cm="1">
        <f t="array" aca="1" ref="G24" ca="1">INDIRECT("'Pomoćni list'!" &amp; ADDRESS(25, ROW(A19) + 3, 4))</f>
        <v>1</v>
      </c>
      <c r="H24" s="90">
        <v>2</v>
      </c>
      <c r="I24" s="98" cm="1">
        <f t="array" aca="1" ref="I24" ca="1">INDIRECT("'Pomoćni list'!" &amp; ADDRESS(100, ROW(A19) + 3, 4))</f>
        <v>6.3</v>
      </c>
      <c r="J24" s="90">
        <v>6</v>
      </c>
      <c r="K24" s="98" cm="1">
        <f t="array" aca="1" ref="K24" ca="1">INDIRECT("'Pomoćni list'!" &amp; ADDRESS(85, ROW(A19) + 3, 4))</f>
        <v>6.5</v>
      </c>
      <c r="L24" s="98" cm="1">
        <f t="array" aca="1" ref="L24" ca="1">INDIRECT("'Pomoćni list'!" &amp; ADDRESS(39, ROW(A19) + 3, 4))</f>
        <v>7.5</v>
      </c>
      <c r="M24" s="91">
        <v>4</v>
      </c>
      <c r="N24" s="114">
        <f t="shared" ca="1" si="1"/>
        <v>65.150000000000006</v>
      </c>
      <c r="O24" s="92">
        <f t="shared" ca="1" si="0"/>
        <v>27</v>
      </c>
      <c r="P24" s="109" t="s">
        <v>20</v>
      </c>
    </row>
    <row r="25" spans="1:16" x14ac:dyDescent="0.3">
      <c r="A25" s="10" t="s">
        <v>21</v>
      </c>
      <c r="B25" s="1">
        <v>8</v>
      </c>
      <c r="C25" s="1" cm="1">
        <f t="array" aca="1" ref="C25" ca="1">INDIRECT("'Pomoćni list'!" &amp; ADDRESS(19, ROW(A20) + 3, 4))</f>
        <v>8</v>
      </c>
      <c r="D25" s="1" cm="1">
        <f t="array" aca="1" ref="D25" ca="1">INDIRECT("'Pomoćni list'!" &amp; ADDRESS(50, ROW(A20) + 3, 4))</f>
        <v>42.8</v>
      </c>
      <c r="E25" s="1" cm="1">
        <f t="array" aca="1" ref="E25" ca="1">INDIRECT("'Pomoćni list'!" &amp; ADDRESS(77, ROW(A20) + 3, 4))</f>
        <v>52</v>
      </c>
      <c r="F25" s="1" cm="1">
        <f t="array" aca="1" ref="F25" ca="1">INDIRECT("'Pomoćni list'!" &amp; ADDRESS(93, ROW(A20) + 3, 4))</f>
        <v>6.3500000000000005</v>
      </c>
      <c r="G25" s="1" cm="1">
        <f t="array" aca="1" ref="G25" ca="1">INDIRECT("'Pomoćni list'!" &amp; ADDRESS(25, ROW(A20) + 3, 4))</f>
        <v>1.35</v>
      </c>
      <c r="H25" s="1">
        <v>9.5</v>
      </c>
      <c r="I25" s="1" cm="1">
        <f t="array" aca="1" ref="I25" ca="1">INDIRECT("'Pomoćni list'!" &amp; ADDRESS(100, ROW(A20) + 3, 4))</f>
        <v>3.2</v>
      </c>
      <c r="J25" s="1">
        <v>5</v>
      </c>
      <c r="K25" s="1" cm="1">
        <f t="array" aca="1" ref="K25" ca="1">INDIRECT("'Pomoćni list'!" &amp; ADDRESS(85, ROW(A20) + 3, 4))</f>
        <v>2</v>
      </c>
      <c r="L25" s="1" cm="1">
        <f t="array" aca="1" ref="L25" ca="1">INDIRECT("'Pomoćni list'!" &amp; ADDRESS(39, ROW(A20) + 3, 4))</f>
        <v>3.8</v>
      </c>
      <c r="M25" s="4">
        <v>1</v>
      </c>
      <c r="N25" s="77">
        <f t="shared" ca="1" si="1"/>
        <v>129.39999999999998</v>
      </c>
      <c r="O25" s="4">
        <f t="shared" ca="1" si="0"/>
        <v>15</v>
      </c>
      <c r="P25" s="108" t="s">
        <v>21</v>
      </c>
    </row>
    <row r="26" spans="1:16" x14ac:dyDescent="0.3">
      <c r="A26" s="95" t="s">
        <v>22</v>
      </c>
      <c r="B26" s="1">
        <v>8</v>
      </c>
      <c r="C26" s="104" cm="1">
        <f t="array" aca="1" ref="C26" ca="1">INDIRECT("'Pomoćni list'!" &amp; ADDRESS(19, ROW(A21) + 3, 4))</f>
        <v>7.5</v>
      </c>
      <c r="D26" s="1" cm="1">
        <f t="array" aca="1" ref="D26" ca="1">INDIRECT("'Pomoćni list'!" &amp; ADDRESS(50, ROW(A21) + 3, 4))</f>
        <v>51.249999999999993</v>
      </c>
      <c r="E26" s="1" cm="1">
        <f t="array" aca="1" ref="E26" ca="1">INDIRECT("'Pomoćni list'!" &amp; ADDRESS(77, ROW(A21) + 3, 4))</f>
        <v>110.5</v>
      </c>
      <c r="F26" s="1" cm="1">
        <f t="array" aca="1" ref="F26" ca="1">INDIRECT("'Pomoćni list'!" &amp; ADDRESS(93, ROW(A21) + 3, 4))</f>
        <v>5.8</v>
      </c>
      <c r="G26" s="1" cm="1">
        <f t="array" aca="1" ref="G26" ca="1">INDIRECT("'Pomoćni list'!" &amp; ADDRESS(25, ROW(A21) + 3, 4))</f>
        <v>2.5</v>
      </c>
      <c r="H26" s="104">
        <v>8</v>
      </c>
      <c r="I26" s="1" cm="1">
        <f t="array" aca="1" ref="I26" ca="1">INDIRECT("'Pomoćni list'!" &amp; ADDRESS(100, ROW(A21) + 3, 4))</f>
        <v>6.8999999999999995</v>
      </c>
      <c r="J26" s="104">
        <v>5</v>
      </c>
      <c r="K26" s="1" cm="1">
        <f t="array" aca="1" ref="K26" ca="1">INDIRECT("'Pomoćni list'!" &amp; ADDRESS(85, ROW(A21) + 3, 4))</f>
        <v>1.5</v>
      </c>
      <c r="L26" s="1" cm="1">
        <f t="array" aca="1" ref="L26" ca="1">INDIRECT("'Pomoćni list'!" &amp; ADDRESS(39, ROW(A21) + 3, 4))</f>
        <v>5.3</v>
      </c>
      <c r="M26" s="97">
        <v>1</v>
      </c>
      <c r="N26" s="77">
        <f t="shared" ca="1" si="1"/>
        <v>197.65</v>
      </c>
      <c r="O26" s="97">
        <f t="shared" ca="1" si="0"/>
        <v>2</v>
      </c>
      <c r="P26" s="110" t="s">
        <v>22</v>
      </c>
    </row>
    <row r="27" spans="1:16" x14ac:dyDescent="0.3">
      <c r="A27" s="10" t="s">
        <v>23</v>
      </c>
      <c r="B27" s="1">
        <v>7.5</v>
      </c>
      <c r="C27" s="1" cm="1">
        <f t="array" aca="1" ref="C27" ca="1">INDIRECT("'Pomoćni list'!" &amp; ADDRESS(19, ROW(A22) + 3, 4))</f>
        <v>6</v>
      </c>
      <c r="D27" s="1" cm="1">
        <f t="array" aca="1" ref="D27" ca="1">INDIRECT("'Pomoćni list'!" &amp; ADDRESS(50, ROW(A22) + 3, 4))</f>
        <v>51.75</v>
      </c>
      <c r="E27" s="1" cm="1">
        <f t="array" aca="1" ref="E27" ca="1">INDIRECT("'Pomoćni list'!" &amp; ADDRESS(77, ROW(A22) + 3, 4))</f>
        <v>41.5</v>
      </c>
      <c r="F27" s="1" cm="1">
        <f t="array" aca="1" ref="F27" ca="1">INDIRECT("'Pomoćni list'!" &amp; ADDRESS(93, ROW(A22) + 3, 4))</f>
        <v>6.9</v>
      </c>
      <c r="G27" s="1" cm="1">
        <f t="array" aca="1" ref="G27" ca="1">INDIRECT("'Pomoćni list'!" &amp; ADDRESS(25, ROW(A22) + 3, 4))</f>
        <v>1.35</v>
      </c>
      <c r="H27" s="1">
        <v>4</v>
      </c>
      <c r="I27" s="1" cm="1">
        <f t="array" aca="1" ref="I27" ca="1">INDIRECT("'Pomoćni list'!" &amp; ADDRESS(100, ROW(A22) + 3, 4))</f>
        <v>6.5200000000000005</v>
      </c>
      <c r="J27" s="1">
        <v>8</v>
      </c>
      <c r="K27" s="1" cm="1">
        <f t="array" aca="1" ref="K27" ca="1">INDIRECT("'Pomoćni list'!" &amp; ADDRESS(85, ROW(A22) + 3, 4))</f>
        <v>5.25</v>
      </c>
      <c r="L27" s="1" cm="1">
        <f t="array" aca="1" ref="L27" ca="1">INDIRECT("'Pomoćni list'!" &amp; ADDRESS(39, ROW(A22) + 3, 4))</f>
        <v>2.5</v>
      </c>
      <c r="M27" s="4">
        <v>1</v>
      </c>
      <c r="N27" s="77">
        <f t="shared" ca="1" si="1"/>
        <v>124.76999999999998</v>
      </c>
      <c r="O27" s="4">
        <f t="shared" ca="1" si="0"/>
        <v>17</v>
      </c>
      <c r="P27" s="108" t="s">
        <v>23</v>
      </c>
    </row>
    <row r="28" spans="1:16" x14ac:dyDescent="0.3">
      <c r="A28" s="10" t="s">
        <v>24</v>
      </c>
      <c r="B28" s="1">
        <v>7.5</v>
      </c>
      <c r="C28" s="1" cm="1">
        <f t="array" aca="1" ref="C28" ca="1">INDIRECT("'Pomoćni list'!" &amp; ADDRESS(19, ROW(A23) + 3, 4))</f>
        <v>4.5</v>
      </c>
      <c r="D28" s="1" cm="1">
        <f t="array" aca="1" ref="D28" ca="1">INDIRECT("'Pomoćni list'!" &amp; ADDRESS(50, ROW(A23) + 3, 4))</f>
        <v>32.25</v>
      </c>
      <c r="E28" s="1" cm="1">
        <f t="array" aca="1" ref="E28" ca="1">INDIRECT("'Pomoćni list'!" &amp; ADDRESS(77, ROW(A23) + 3, 4))</f>
        <v>13</v>
      </c>
      <c r="F28" s="1" cm="1">
        <f t="array" aca="1" ref="F28" ca="1">INDIRECT("'Pomoćni list'!" &amp; ADDRESS(93, ROW(A23) + 3, 4))</f>
        <v>7.5</v>
      </c>
      <c r="G28" s="1" cm="1">
        <f t="array" aca="1" ref="G28" ca="1">INDIRECT("'Pomoćni list'!" &amp; ADDRESS(25, ROW(A23) + 3, 4))</f>
        <v>1</v>
      </c>
      <c r="H28" s="1">
        <v>2</v>
      </c>
      <c r="I28" s="1" cm="1">
        <f t="array" aca="1" ref="I28" ca="1">INDIRECT("'Pomoćni list'!" &amp; ADDRESS(100, ROW(A23) + 3, 4))</f>
        <v>9</v>
      </c>
      <c r="J28" s="1">
        <v>8</v>
      </c>
      <c r="K28" s="1" cm="1">
        <f t="array" aca="1" ref="K28" ca="1">INDIRECT("'Pomoćni list'!" &amp; ADDRESS(85, ROW(A23) + 3, 4))</f>
        <v>8.5</v>
      </c>
      <c r="L28" s="1" cm="1">
        <f t="array" aca="1" ref="L28" ca="1">INDIRECT("'Pomoćni list'!" &amp; ADDRESS(39, ROW(A23) + 3, 4))</f>
        <v>5</v>
      </c>
      <c r="M28" s="4">
        <v>2.5</v>
      </c>
      <c r="N28" s="77">
        <f t="shared" ca="1" si="1"/>
        <v>68.75</v>
      </c>
      <c r="O28" s="4">
        <f t="shared" ca="1" si="0"/>
        <v>26</v>
      </c>
      <c r="P28" s="108" t="s">
        <v>24</v>
      </c>
    </row>
    <row r="29" spans="1:16" x14ac:dyDescent="0.3">
      <c r="A29" s="10" t="s">
        <v>25</v>
      </c>
      <c r="B29" s="1">
        <v>8</v>
      </c>
      <c r="C29" s="1" cm="1">
        <f t="array" aca="1" ref="C29" ca="1">INDIRECT("'Pomoćni list'!" &amp; ADDRESS(19, ROW(A24) + 3, 4))</f>
        <v>7</v>
      </c>
      <c r="D29" s="1" cm="1">
        <f t="array" aca="1" ref="D29" ca="1">INDIRECT("'Pomoćni list'!" &amp; ADDRESS(50, ROW(A24) + 3, 4))</f>
        <v>50.05</v>
      </c>
      <c r="E29" s="1" cm="1">
        <f t="array" aca="1" ref="E29" ca="1">INDIRECT("'Pomoćni list'!" &amp; ADDRESS(77, ROW(A24) + 3, 4))</f>
        <v>92.5</v>
      </c>
      <c r="F29" s="1" cm="1">
        <f t="array" aca="1" ref="F29" ca="1">INDIRECT("'Pomoćni list'!" &amp; ADDRESS(93, ROW(A24) + 3, 4))</f>
        <v>5.9499999999999993</v>
      </c>
      <c r="G29" s="1" cm="1">
        <f t="array" aca="1" ref="G29" ca="1">INDIRECT("'Pomoćni list'!" &amp; ADDRESS(25, ROW(A24) + 3, 4))</f>
        <v>2.5</v>
      </c>
      <c r="H29" s="1">
        <v>7</v>
      </c>
      <c r="I29" s="1" cm="1">
        <f t="array" aca="1" ref="I29" ca="1">INDIRECT("'Pomoćni list'!" &amp; ADDRESS(100, ROW(A24) + 3, 4))</f>
        <v>5.129999999999999</v>
      </c>
      <c r="J29" s="1">
        <v>5</v>
      </c>
      <c r="K29" s="1" cm="1">
        <f t="array" aca="1" ref="K29" ca="1">INDIRECT("'Pomoćni list'!" &amp; ADDRESS(85, ROW(A24) + 3, 4))</f>
        <v>1.5</v>
      </c>
      <c r="L29" s="1" cm="1">
        <f t="array" aca="1" ref="L29" ca="1">INDIRECT("'Pomoćni list'!" &amp; ADDRESS(39, ROW(A24) + 3, 4))</f>
        <v>6</v>
      </c>
      <c r="M29" s="4">
        <v>1</v>
      </c>
      <c r="N29" s="77">
        <f t="shared" ca="1" si="1"/>
        <v>174.63</v>
      </c>
      <c r="O29" s="4">
        <f t="shared" ca="1" si="0"/>
        <v>8</v>
      </c>
      <c r="P29" s="108" t="s">
        <v>25</v>
      </c>
    </row>
    <row r="30" spans="1:16" x14ac:dyDescent="0.3">
      <c r="A30" s="10" t="s">
        <v>26</v>
      </c>
      <c r="B30" s="1">
        <v>7.5</v>
      </c>
      <c r="C30" s="1" cm="1">
        <f t="array" aca="1" ref="C30" ca="1">INDIRECT("'Pomoćni list'!" &amp; ADDRESS(19, ROW(A25) + 3, 4))</f>
        <v>5.5</v>
      </c>
      <c r="D30" s="1" cm="1">
        <f t="array" aca="1" ref="D30" ca="1">INDIRECT("'Pomoćni list'!" &amp; ADDRESS(50, ROW(A25) + 3, 4))</f>
        <v>30.249999999999996</v>
      </c>
      <c r="E30" s="1" cm="1">
        <f t="array" aca="1" ref="E30" ca="1">INDIRECT("'Pomoćni list'!" &amp; ADDRESS(77, ROW(A25) + 3, 4))</f>
        <v>50</v>
      </c>
      <c r="F30" s="1" cm="1">
        <f t="array" aca="1" ref="F30" ca="1">INDIRECT("'Pomoćni list'!" &amp; ADDRESS(93, ROW(A25) + 3, 4))</f>
        <v>3.625</v>
      </c>
      <c r="G30" s="1" cm="1">
        <f t="array" aca="1" ref="G30" ca="1">INDIRECT("'Pomoćni list'!" &amp; ADDRESS(25, ROW(A25) + 3, 4))</f>
        <v>2.5</v>
      </c>
      <c r="H30" s="1">
        <v>6</v>
      </c>
      <c r="I30" s="1" cm="1">
        <f t="array" aca="1" ref="I30" ca="1">INDIRECT("'Pomoćni list'!" &amp; ADDRESS(100, ROW(A25) + 3, 4))</f>
        <v>1.9</v>
      </c>
      <c r="J30" s="1">
        <v>4.5</v>
      </c>
      <c r="K30" s="1" cm="1">
        <f t="array" aca="1" ref="K30" ca="1">INDIRECT("'Pomoćni list'!" &amp; ADDRESS(85, ROW(A25) + 3, 4))</f>
        <v>4.5</v>
      </c>
      <c r="L30" s="1" cm="1">
        <f t="array" aca="1" ref="L30" ca="1">INDIRECT("'Pomoćni list'!" &amp; ADDRESS(39, ROW(A25) + 3, 4))</f>
        <v>7.5</v>
      </c>
      <c r="M30" s="4">
        <v>1.1000000000000001</v>
      </c>
      <c r="N30" s="77">
        <f t="shared" ca="1" si="1"/>
        <v>98.675000000000011</v>
      </c>
      <c r="O30" s="93">
        <f t="shared" ca="1" si="0"/>
        <v>25</v>
      </c>
      <c r="P30" s="108" t="s">
        <v>26</v>
      </c>
    </row>
    <row r="31" spans="1:16" x14ac:dyDescent="0.3">
      <c r="A31" s="10" t="s">
        <v>27</v>
      </c>
      <c r="B31" s="1">
        <v>7.5</v>
      </c>
      <c r="C31" s="1" cm="1">
        <f t="array" aca="1" ref="C31" ca="1">INDIRECT("'Pomoćni list'!" &amp; ADDRESS(19, ROW(A26) + 3, 4))</f>
        <v>7.5</v>
      </c>
      <c r="D31" s="1" cm="1">
        <f t="array" aca="1" ref="D31" ca="1">INDIRECT("'Pomoćni list'!" &amp; ADDRESS(50, ROW(A26) + 3, 4))</f>
        <v>51.600000000000009</v>
      </c>
      <c r="E31" s="1" cm="1">
        <f t="array" aca="1" ref="E31" ca="1">INDIRECT("'Pomoćni list'!" &amp; ADDRESS(77, ROW(A26) + 3, 4))</f>
        <v>81.5</v>
      </c>
      <c r="F31" s="1" cm="1">
        <f t="array" aca="1" ref="F31" ca="1">INDIRECT("'Pomoćni list'!" &amp; ADDRESS(93, ROW(A26) + 3, 4))</f>
        <v>7.2</v>
      </c>
      <c r="G31" s="1" cm="1">
        <f t="array" aca="1" ref="G31" ca="1">INDIRECT("'Pomoćni list'!" &amp; ADDRESS(25, ROW(A26) + 3, 4))</f>
        <v>1.2</v>
      </c>
      <c r="H31" s="1">
        <v>3.5</v>
      </c>
      <c r="I31" s="1" cm="1">
        <f t="array" aca="1" ref="I31" ca="1">INDIRECT("'Pomoćni list'!" &amp; ADDRESS(100, ROW(A26) + 3, 4))</f>
        <v>7.24</v>
      </c>
      <c r="J31" s="1">
        <v>8</v>
      </c>
      <c r="K31" s="1" cm="1">
        <f t="array" aca="1" ref="K31" ca="1">INDIRECT("'Pomoćni list'!" &amp; ADDRESS(85, ROW(A26) + 3, 4))</f>
        <v>5.25</v>
      </c>
      <c r="L31" s="1" cm="1">
        <f t="array" aca="1" ref="L31" ca="1">INDIRECT("'Pomoćni list'!" &amp; ADDRESS(39, ROW(A26) + 3, 4))</f>
        <v>5</v>
      </c>
      <c r="M31" s="4">
        <v>1</v>
      </c>
      <c r="N31" s="77">
        <f t="shared" ca="1" si="1"/>
        <v>163.99</v>
      </c>
      <c r="O31" s="4">
        <f t="shared" ca="1" si="0"/>
        <v>11</v>
      </c>
      <c r="P31" s="108" t="s">
        <v>27</v>
      </c>
    </row>
    <row r="32" spans="1:16" ht="17.25" thickBot="1" x14ac:dyDescent="0.35">
      <c r="A32" s="26" t="s">
        <v>28</v>
      </c>
      <c r="B32" s="3">
        <v>7.5</v>
      </c>
      <c r="C32" s="3" cm="1">
        <f t="array" aca="1" ref="C32" ca="1">INDIRECT("'Pomoćni list'!" &amp; ADDRESS(19, ROW(A27) + 3, 4))</f>
        <v>8</v>
      </c>
      <c r="D32" s="3" cm="1">
        <f t="array" aca="1" ref="D32" ca="1">INDIRECT("'Pomoćni list'!" &amp; ADDRESS(50, ROW(A27) + 3, 4))</f>
        <v>46.550000000000004</v>
      </c>
      <c r="E32" s="3" cm="1">
        <f t="array" aca="1" ref="E32" ca="1">INDIRECT("'Pomoćni list'!" &amp; ADDRESS(77, ROW(A27) + 3, 4))</f>
        <v>38.5</v>
      </c>
      <c r="F32" s="3" cm="1">
        <f t="array" aca="1" ref="F32" ca="1">INDIRECT("'Pomoćni list'!" &amp; ADDRESS(93, ROW(A27) + 3, 4))</f>
        <v>7.1000000000000005</v>
      </c>
      <c r="G32" s="3" cm="1">
        <f t="array" aca="1" ref="G32" ca="1">INDIRECT("'Pomoćni list'!" &amp; ADDRESS(25, ROW(A27) + 3, 4))</f>
        <v>1.1000000000000001</v>
      </c>
      <c r="H32" s="3">
        <v>4.5</v>
      </c>
      <c r="I32" s="3" cm="1">
        <f t="array" aca="1" ref="I32" ca="1">INDIRECT("'Pomoćni list'!" &amp; ADDRESS(100, ROW(A27) + 3, 4))</f>
        <v>3.16</v>
      </c>
      <c r="J32" s="3">
        <v>5</v>
      </c>
      <c r="K32" s="3" cm="1">
        <f t="array" aca="1" ref="K32" ca="1">INDIRECT("'Pomoćni list'!" &amp; ADDRESS(85, ROW(A27) + 3, 4))</f>
        <v>4.5</v>
      </c>
      <c r="L32" s="3" cm="1">
        <f t="array" aca="1" ref="L32" ca="1">INDIRECT("'Pomoćni list'!" &amp; ADDRESS(39, ROW(A27) + 3, 4))</f>
        <v>4.7</v>
      </c>
      <c r="M32" s="5">
        <v>1</v>
      </c>
      <c r="N32" s="78">
        <f t="shared" ca="1" si="1"/>
        <v>111.21</v>
      </c>
      <c r="O32" s="5">
        <f t="shared" ca="1" si="0"/>
        <v>20</v>
      </c>
      <c r="P32" s="111" t="s">
        <v>28</v>
      </c>
    </row>
  </sheetData>
  <mergeCells count="4">
    <mergeCell ref="A1:B1"/>
    <mergeCell ref="B3:M3"/>
    <mergeCell ref="N4:P4"/>
    <mergeCell ref="N5:P5"/>
  </mergeCells>
  <pageMargins left="0.51181102362204722" right="0.51181102362204722" top="0.74803149606299213" bottom="0.74803149606299213" header="0.31496062992125984" footer="0.31496062992125984"/>
  <pageSetup paperSize="8" fitToWidth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AF84-0C4E-415B-8243-D9D3090674CA}">
  <sheetPr>
    <pageSetUpPr fitToPage="1"/>
  </sheetPr>
  <dimension ref="A1:P34"/>
  <sheetViews>
    <sheetView zoomScaleNormal="100" workbookViewId="0">
      <selection activeCell="B23" sqref="B23"/>
    </sheetView>
  </sheetViews>
  <sheetFormatPr defaultRowHeight="16.5" x14ac:dyDescent="0.3"/>
  <cols>
    <col min="1" max="2" width="25.7109375" style="1" customWidth="1"/>
    <col min="3" max="4" width="20.7109375" style="1" customWidth="1"/>
    <col min="5" max="5" width="20.5703125" style="1" customWidth="1"/>
    <col min="6" max="7" width="20.7109375" style="1" customWidth="1"/>
    <col min="8" max="8" width="20.5703125" style="1" customWidth="1"/>
    <col min="9" max="9" width="20.7109375" style="1" customWidth="1"/>
    <col min="10" max="10" width="25.7109375" style="1" customWidth="1"/>
    <col min="11" max="11" width="35.7109375" style="1" customWidth="1"/>
    <col min="12" max="13" width="20.7109375" style="1" customWidth="1"/>
    <col min="14" max="14" width="25.7109375" style="1" customWidth="1"/>
    <col min="15" max="15" width="20.7109375" style="1" customWidth="1"/>
    <col min="16" max="16" width="25.7109375" style="1" customWidth="1"/>
    <col min="17" max="29" width="20.7109375" style="1" customWidth="1"/>
    <col min="30" max="16384" width="9.140625" style="1"/>
  </cols>
  <sheetData>
    <row r="1" spans="1:16" ht="16.5" customHeight="1" x14ac:dyDescent="0.3">
      <c r="A1" s="127" t="s">
        <v>118</v>
      </c>
      <c r="B1" s="127"/>
    </row>
    <row r="2" spans="1:16" ht="17.25" thickBot="1" x14ac:dyDescent="0.35">
      <c r="A2" s="2"/>
    </row>
    <row r="3" spans="1:16" ht="18" thickTop="1" thickBot="1" x14ac:dyDescent="0.35">
      <c r="A3" s="8" t="s">
        <v>119</v>
      </c>
      <c r="B3" s="128" t="s">
        <v>1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28" t="s">
        <v>77</v>
      </c>
      <c r="O3" s="106" t="s">
        <v>89</v>
      </c>
      <c r="P3" s="106" t="s">
        <v>119</v>
      </c>
    </row>
    <row r="4" spans="1:16" ht="17.25" thickTop="1" x14ac:dyDescent="0.3">
      <c r="A4" s="33" t="s">
        <v>39</v>
      </c>
      <c r="B4" s="6" t="s">
        <v>29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6" t="s">
        <v>29</v>
      </c>
      <c r="I4" s="6" t="s">
        <v>29</v>
      </c>
      <c r="J4" s="6" t="s">
        <v>29</v>
      </c>
      <c r="K4" s="7" t="s">
        <v>0</v>
      </c>
      <c r="L4" s="7" t="s">
        <v>0</v>
      </c>
      <c r="M4" s="9" t="s">
        <v>0</v>
      </c>
      <c r="N4" s="129" t="s">
        <v>39</v>
      </c>
      <c r="O4" s="130"/>
      <c r="P4" s="131"/>
    </row>
    <row r="5" spans="1:16" ht="17.25" thickBot="1" x14ac:dyDescent="0.35">
      <c r="A5" s="34" t="s">
        <v>87</v>
      </c>
      <c r="B5" s="3" t="s">
        <v>37</v>
      </c>
      <c r="C5" s="3" t="s">
        <v>31</v>
      </c>
      <c r="D5" s="3" t="s">
        <v>30</v>
      </c>
      <c r="E5" s="3" t="s">
        <v>32</v>
      </c>
      <c r="F5" s="3" t="s">
        <v>41</v>
      </c>
      <c r="G5" s="3" t="s">
        <v>127</v>
      </c>
      <c r="H5" s="3" t="s">
        <v>35</v>
      </c>
      <c r="I5" s="3" t="s">
        <v>36</v>
      </c>
      <c r="J5" s="3" t="s">
        <v>66</v>
      </c>
      <c r="K5" s="3" t="s">
        <v>128</v>
      </c>
      <c r="L5" s="3" t="s">
        <v>33</v>
      </c>
      <c r="M5" s="5" t="s">
        <v>34</v>
      </c>
      <c r="N5" s="132" t="s">
        <v>87</v>
      </c>
      <c r="O5" s="133"/>
      <c r="P5" s="134"/>
    </row>
    <row r="6" spans="1:16" x14ac:dyDescent="0.3">
      <c r="A6" s="10" t="s">
        <v>2</v>
      </c>
      <c r="B6" s="29" cm="1">
        <f t="array" aca="1" ref="B6" ca="1">Ocjene!B6/INDIRECT("Ocjene!" &amp; CHAR(66 + COLUMN(A1) - 1) &amp; $A$34)</f>
        <v>1</v>
      </c>
      <c r="C6" s="29" cm="1">
        <f t="array" aca="1" ref="C6" ca="1">Ocjene!C6/INDIRECT("Ocjene!" &amp; CHAR(66 + COLUMN(B1) - 1) &amp; $A$34)</f>
        <v>1.8</v>
      </c>
      <c r="D6" s="29" cm="1">
        <f t="array" aca="1" ref="D6" ca="1">Ocjene!D6/INDIRECT("Ocjene!" &amp; CHAR(66 + COLUMN(C1) - 1) &amp; $A$34)</f>
        <v>1.2531293463143254</v>
      </c>
      <c r="E6" s="29" cm="1">
        <f t="array" aca="1" ref="E6" ca="1">Ocjene!E6/INDIRECT("Ocjene!" &amp; CHAR(66 + COLUMN(D1) - 1) &amp; $A$34)</f>
        <v>11.409090909090908</v>
      </c>
      <c r="F6" s="29" cm="1">
        <f t="array" aca="1" ref="F6" ca="1">Ocjene!F6/INDIRECT("Ocjene!" &amp; CHAR(66 + COLUMN(E1) - 1) &amp; $A$34)</f>
        <v>0.91071428571428559</v>
      </c>
      <c r="G6" s="29" cm="1">
        <f t="array" aca="1" ref="G6" ca="1">Ocjene!G6/INDIRECT("Ocjene!" &amp; CHAR(66 + COLUMN(F1) - 1) &amp; $A$34)</f>
        <v>1.5</v>
      </c>
      <c r="H6" s="29" cm="1">
        <f t="array" aca="1" ref="H6" ca="1">Ocjene!H6/INDIRECT("Ocjene!" &amp; CHAR(66 + COLUMN(G1) - 1) &amp; $A$34)</f>
        <v>3.5</v>
      </c>
      <c r="I6" s="29" cm="1">
        <f t="array" aca="1" ref="I6" ca="1">Ocjene!I6/INDIRECT("Ocjene!" &amp; CHAR(66 + COLUMN(H1) - 1) &amp; $A$34)</f>
        <v>0.97936507936507933</v>
      </c>
      <c r="J6" s="29" cm="1">
        <f t="array" aca="1" ref="J6" ca="1">Ocjene!J6/INDIRECT("Ocjene!" &amp; CHAR(66 + COLUMN(I1) - 1) &amp; $A$34)</f>
        <v>0.83333333333333337</v>
      </c>
      <c r="K6" s="29" cm="1">
        <f t="array" aca="1" ref="K6" ca="1">Ocjene!K6/INDIRECT("Ocjene!" &amp; CHAR(66 + COLUMN(J1) - 1) &amp; $A$34)</f>
        <v>0.53846153846153844</v>
      </c>
      <c r="L6" s="29" cm="1">
        <f t="array" aca="1" ref="L6" ca="1">Ocjene!L6/INDIRECT("Ocjene!" &amp; CHAR(66 + COLUMN(K1) - 1) &amp; $A$34)</f>
        <v>0.84</v>
      </c>
      <c r="M6" s="29" cm="1">
        <f t="array" aca="1" ref="M6" ca="1">Ocjene!M6/INDIRECT("Ocjene!" &amp; CHAR(66 + COLUMN(L1) - 1) &amp; $A$34)</f>
        <v>0.25</v>
      </c>
      <c r="N6" s="71">
        <f ca="1">SUM(B6:J6) - SUM(K6:M6)</f>
        <v>21.55717141535639</v>
      </c>
      <c r="O6" s="70">
        <f ca="1">RANK(N6,$N$6:$N$32)</f>
        <v>2</v>
      </c>
      <c r="P6" s="108" t="s">
        <v>2</v>
      </c>
    </row>
    <row r="7" spans="1:16" x14ac:dyDescent="0.3">
      <c r="A7" s="10" t="s">
        <v>3</v>
      </c>
      <c r="B7" s="29" cm="1">
        <f t="array" aca="1" ref="B7" ca="1">Ocjene!B7/INDIRECT("Ocjene!" &amp; CHAR(66 + COLUMN(A2) - 1) &amp; $A$34)</f>
        <v>1.0666666666666667</v>
      </c>
      <c r="C7" s="29" cm="1">
        <f t="array" aca="1" ref="C7" ca="1">Ocjene!C7/INDIRECT("Ocjene!" &amp; CHAR(66 + COLUMN(B2) - 1) &amp; $A$34)</f>
        <v>1.3</v>
      </c>
      <c r="D7" s="29" cm="1">
        <f t="array" aca="1" ref="D7" ca="1">Ocjene!D7/INDIRECT("Ocjene!" &amp; CHAR(66 + COLUMN(C2) - 1) &amp; $A$34)</f>
        <v>1.3179415855354659</v>
      </c>
      <c r="E7" s="29" cm="1">
        <f t="array" aca="1" ref="E7" ca="1">Ocjene!E7/INDIRECT("Ocjene!" &amp; CHAR(66 + COLUMN(D2) - 1) &amp; $A$34)</f>
        <v>8.2727272727272734</v>
      </c>
      <c r="F7" s="29" cm="1">
        <f t="array" aca="1" ref="F7" ca="1">Ocjene!F7/INDIRECT("Ocjene!" &amp; CHAR(66 + COLUMN(E2) - 1) &amp; $A$34)</f>
        <v>0.80357142857142849</v>
      </c>
      <c r="G7" s="29" cm="1">
        <f t="array" aca="1" ref="G7" ca="1">Ocjene!G7/INDIRECT("Ocjene!" &amp; CHAR(66 + COLUMN(F2) - 1) &amp; $A$34)</f>
        <v>1.2</v>
      </c>
      <c r="H7" s="29" cm="1">
        <f t="array" aca="1" ref="H7" ca="1">Ocjene!H7/INDIRECT("Ocjene!" &amp; CHAR(66 + COLUMN(G2) - 1) &amp; $A$34)</f>
        <v>3.25</v>
      </c>
      <c r="I7" s="29" cm="1">
        <f t="array" aca="1" ref="I7" ca="1">Ocjene!I7/INDIRECT("Ocjene!" &amp; CHAR(66 + COLUMN(H2) - 1) &amp; $A$34)</f>
        <v>0.76190476190476186</v>
      </c>
      <c r="J7" s="29" cm="1">
        <f t="array" aca="1" ref="J7" ca="1">Ocjene!J7/INDIRECT("Ocjene!" &amp; CHAR(66 + COLUMN(I2) - 1) &amp; $A$34)</f>
        <v>1</v>
      </c>
      <c r="K7" s="29" cm="1">
        <f t="array" aca="1" ref="K7" ca="1">Ocjene!K7/INDIRECT("Ocjene!" &amp; CHAR(66 + COLUMN(J2) - 1) &amp; $A$34)</f>
        <v>0.57692307692307687</v>
      </c>
      <c r="L7" s="29" cm="1">
        <f t="array" aca="1" ref="L7" ca="1">Ocjene!L7/INDIRECT("Ocjene!" &amp; CHAR(66 + COLUMN(K2) - 1) &amp; $A$34)</f>
        <v>0.4</v>
      </c>
      <c r="M7" s="29" cm="1">
        <f t="array" aca="1" ref="M7" ca="1">Ocjene!M7/INDIRECT("Ocjene!" &amp; CHAR(66 + COLUMN(L2) - 1) &amp; $A$34)</f>
        <v>0.25</v>
      </c>
      <c r="N7" s="72">
        <f ca="1">SUM(B7:J7) - SUM(K7:M7)</f>
        <v>17.745888638482519</v>
      </c>
      <c r="O7" s="4">
        <f t="shared" ref="O7:O32" ca="1" si="0">RANK(N7,$N$6:$N$32)</f>
        <v>10</v>
      </c>
      <c r="P7" s="108" t="s">
        <v>3</v>
      </c>
    </row>
    <row r="8" spans="1:16" x14ac:dyDescent="0.3">
      <c r="A8" s="10" t="s">
        <v>4</v>
      </c>
      <c r="B8" s="29" cm="1">
        <f t="array" aca="1" ref="B8" ca="1">Ocjene!B8/INDIRECT("Ocjene!" &amp; CHAR(66 + COLUMN(A3) - 1) &amp; $A$34)</f>
        <v>1.0666666666666667</v>
      </c>
      <c r="C8" s="29" cm="1">
        <f t="array" aca="1" ref="C8" ca="1">Ocjene!C8/INDIRECT("Ocjene!" &amp; CHAR(66 + COLUMN(B3) - 1) &amp; $A$34)</f>
        <v>1.7</v>
      </c>
      <c r="D8" s="29" cm="1">
        <f t="array" aca="1" ref="D8" ca="1">Ocjene!D8/INDIRECT("Ocjene!" &amp; CHAR(66 + COLUMN(C3) - 1) &amp; $A$34)</f>
        <v>1.3713490959666201</v>
      </c>
      <c r="E8" s="29" cm="1">
        <f t="array" aca="1" ref="E8" ca="1">Ocjene!E8/INDIRECT("Ocjene!" &amp; CHAR(66 + COLUMN(D3) - 1) &amp; $A$34)</f>
        <v>9.2272727272727266</v>
      </c>
      <c r="F8" s="29" cm="1">
        <f t="array" aca="1" ref="F8" ca="1">Ocjene!F8/INDIRECT("Ocjene!" &amp; CHAR(66 + COLUMN(E3) - 1) &amp; $A$34)</f>
        <v>0.75595238095238093</v>
      </c>
      <c r="G8" s="29" cm="1">
        <f t="array" aca="1" ref="G8" ca="1">Ocjene!G8/INDIRECT("Ocjene!" &amp; CHAR(66 + COLUMN(F3) - 1) &amp; $A$34)</f>
        <v>1.35</v>
      </c>
      <c r="H8" s="29" cm="1">
        <f t="array" aca="1" ref="H8" ca="1">Ocjene!H8/INDIRECT("Ocjene!" &amp; CHAR(66 + COLUMN(G3) - 1) &amp; $A$34)</f>
        <v>3.25</v>
      </c>
      <c r="I8" s="29" cm="1">
        <f t="array" aca="1" ref="I8" ca="1">Ocjene!I8/INDIRECT("Ocjene!" &amp; CHAR(66 + COLUMN(H3) - 1) &amp; $A$34)</f>
        <v>0.7142857142857143</v>
      </c>
      <c r="J8" s="29" cm="1">
        <f t="array" aca="1" ref="J8" ca="1">Ocjene!J8/INDIRECT("Ocjene!" &amp; CHAR(66 + COLUMN(I3) - 1) &amp; $A$34)</f>
        <v>1</v>
      </c>
      <c r="K8" s="29" cm="1">
        <f t="array" aca="1" ref="K8" ca="1">Ocjene!K8/INDIRECT("Ocjene!" &amp; CHAR(66 + COLUMN(J3) - 1) &amp; $A$34)</f>
        <v>0.53846153846153844</v>
      </c>
      <c r="L8" s="29" cm="1">
        <f t="array" aca="1" ref="L8" ca="1">Ocjene!L8/INDIRECT("Ocjene!" &amp; CHAR(66 + COLUMN(K3) - 1) &amp; $A$34)</f>
        <v>0.6</v>
      </c>
      <c r="M8" s="29" cm="1">
        <f t="array" aca="1" ref="M8" ca="1">Ocjene!M8/INDIRECT("Ocjene!" &amp; CHAR(66 + COLUMN(L3) - 1) &amp; $A$34)</f>
        <v>0.25</v>
      </c>
      <c r="N8" s="72">
        <f t="shared" ref="N8:N32" ca="1" si="1">SUM(B8:J8) - SUM(K8:M8)</f>
        <v>19.047065046682572</v>
      </c>
      <c r="O8" s="4">
        <f t="shared" ca="1" si="0"/>
        <v>8</v>
      </c>
      <c r="P8" s="108" t="s">
        <v>4</v>
      </c>
    </row>
    <row r="9" spans="1:16" x14ac:dyDescent="0.3">
      <c r="A9" s="10" t="s">
        <v>5</v>
      </c>
      <c r="B9" s="29" cm="1">
        <f t="array" aca="1" ref="B9" ca="1">Ocjene!B9/INDIRECT("Ocjene!" &amp; CHAR(66 + COLUMN(A4) - 1) &amp; $A$34)</f>
        <v>1</v>
      </c>
      <c r="C9" s="29" cm="1">
        <f t="array" aca="1" ref="C9" ca="1">Ocjene!C9/INDIRECT("Ocjene!" &amp; CHAR(66 + COLUMN(B4) - 1) &amp; $A$34)</f>
        <v>1.2</v>
      </c>
      <c r="D9" s="29" cm="1">
        <f t="array" aca="1" ref="D9" ca="1">Ocjene!D9/INDIRECT("Ocjene!" &amp; CHAR(66 + COLUMN(C4) - 1) &amp; $A$34)</f>
        <v>1.2378303198887344</v>
      </c>
      <c r="E9" s="29" cm="1">
        <f t="array" aca="1" ref="E9" ca="1">Ocjene!E9/INDIRECT("Ocjene!" &amp; CHAR(66 + COLUMN(D4) - 1) &amp; $A$34)</f>
        <v>4.1363636363636367</v>
      </c>
      <c r="F9" s="29" cm="1">
        <f t="array" aca="1" ref="F9" ca="1">Ocjene!F9/INDIRECT("Ocjene!" &amp; CHAR(66 + COLUMN(E4) - 1) &amp; $A$34)</f>
        <v>0.86904761904761907</v>
      </c>
      <c r="G9" s="29" cm="1">
        <f t="array" aca="1" ref="G9" ca="1">Ocjene!G9/INDIRECT("Ocjene!" &amp; CHAR(66 + COLUMN(F4) - 1) &amp; $A$34)</f>
        <v>1</v>
      </c>
      <c r="H9" s="29" cm="1">
        <f t="array" aca="1" ref="H9" ca="1">Ocjene!H9/INDIRECT("Ocjene!" &amp; CHAR(66 + COLUMN(G4) - 1) &amp; $A$34)</f>
        <v>1.75</v>
      </c>
      <c r="I9" s="29" cm="1">
        <f t="array" aca="1" ref="I9" ca="1">Ocjene!I9/INDIRECT("Ocjene!" &amp; CHAR(66 + COLUMN(H4) - 1) &amp; $A$34)</f>
        <v>1.1555555555555557</v>
      </c>
      <c r="J9" s="29" cm="1">
        <f t="array" aca="1" ref="J9" ca="1">Ocjene!J9/INDIRECT("Ocjene!" &amp; CHAR(66 + COLUMN(I4) - 1) &amp; $A$34)</f>
        <v>0.83333333333333337</v>
      </c>
      <c r="K9" s="29" cm="1">
        <f t="array" aca="1" ref="K9" ca="1">Ocjene!K9/INDIRECT("Ocjene!" &amp; CHAR(66 + COLUMN(J4) - 1) &amp; $A$34)</f>
        <v>0.96153846153846156</v>
      </c>
      <c r="L9" s="29" cm="1">
        <f t="array" aca="1" ref="L9" ca="1">Ocjene!L9/INDIRECT("Ocjene!" &amp; CHAR(66 + COLUMN(K4) - 1) &amp; $A$34)</f>
        <v>0.66666666666666663</v>
      </c>
      <c r="M9" s="29" cm="1">
        <f t="array" aca="1" ref="M9" ca="1">Ocjene!M9/INDIRECT("Ocjene!" &amp; CHAR(66 + COLUMN(L4) - 1) &amp; $A$34)</f>
        <v>1.5</v>
      </c>
      <c r="N9" s="72">
        <f t="shared" ca="1" si="1"/>
        <v>10.053925335983751</v>
      </c>
      <c r="O9" s="4">
        <f t="shared" ca="1" si="0"/>
        <v>25</v>
      </c>
      <c r="P9" s="108" t="s">
        <v>5</v>
      </c>
    </row>
    <row r="10" spans="1:16" x14ac:dyDescent="0.3">
      <c r="A10" s="10" t="s">
        <v>6</v>
      </c>
      <c r="B10" s="29" cm="1">
        <f t="array" aca="1" ref="B10" ca="1">Ocjene!B10/INDIRECT("Ocjene!" &amp; CHAR(66 + COLUMN(A5) - 1) &amp; $A$34)</f>
        <v>1</v>
      </c>
      <c r="C10" s="29" cm="1">
        <f t="array" aca="1" ref="C10" ca="1">Ocjene!C10/INDIRECT("Ocjene!" &amp; CHAR(66 + COLUMN(B5) - 1) &amp; $A$34)</f>
        <v>1.4</v>
      </c>
      <c r="D10" s="29" cm="1">
        <f t="array" aca="1" ref="D10" ca="1">Ocjene!D10/INDIRECT("Ocjene!" &amp; CHAR(66 + COLUMN(C5) - 1) &amp; $A$34)</f>
        <v>1.3045897079276771</v>
      </c>
      <c r="E10" s="29" cm="1">
        <f t="array" aca="1" ref="E10" ca="1">Ocjene!E10/INDIRECT("Ocjene!" &amp; CHAR(66 + COLUMN(D5) - 1) &amp; $A$34)</f>
        <v>10.545454545454545</v>
      </c>
      <c r="F10" s="29" cm="1">
        <f t="array" aca="1" ref="F10" ca="1">Ocjene!F10/INDIRECT("Ocjene!" &amp; CHAR(66 + COLUMN(E5) - 1) &amp; $A$34)</f>
        <v>0.50595238095238093</v>
      </c>
      <c r="G10" s="29" cm="1">
        <f t="array" aca="1" ref="G10" ca="1">Ocjene!G10/INDIRECT("Ocjene!" &amp; CHAR(66 + COLUMN(F5) - 1) &amp; $A$34)</f>
        <v>2.5</v>
      </c>
      <c r="H10" s="29" cm="1">
        <f t="array" aca="1" ref="H10" ca="1">Ocjene!H10/INDIRECT("Ocjene!" &amp; CHAR(66 + COLUMN(G5) - 1) &amp; $A$34)</f>
        <v>2.5</v>
      </c>
      <c r="I10" s="29" cm="1">
        <f t="array" aca="1" ref="I10" ca="1">Ocjene!I10/INDIRECT("Ocjene!" &amp; CHAR(66 + COLUMN(H5) - 1) &amp; $A$34)</f>
        <v>0.46984126984126984</v>
      </c>
      <c r="J10" s="29" cm="1">
        <f t="array" aca="1" ref="J10" ca="1">Ocjene!J10/INDIRECT("Ocjene!" &amp; CHAR(66 + COLUMN(I5) - 1) &amp; $A$34)</f>
        <v>0.66666666666666663</v>
      </c>
      <c r="K10" s="29" cm="1">
        <f t="array" aca="1" ref="K10" ca="1">Ocjene!K10/INDIRECT("Ocjene!" &amp; CHAR(66 + COLUMN(J5) - 1) &amp; $A$34)</f>
        <v>1</v>
      </c>
      <c r="L10" s="29" cm="1">
        <f t="array" aca="1" ref="L10" ca="1">Ocjene!L10/INDIRECT("Ocjene!" &amp; CHAR(66 + COLUMN(K5) - 1) &amp; $A$34)</f>
        <v>1</v>
      </c>
      <c r="M10" s="29" cm="1">
        <f t="array" aca="1" ref="M10" ca="1">Ocjene!M10/INDIRECT("Ocjene!" &amp; CHAR(66 + COLUMN(L5) - 1) &amp; $A$34)</f>
        <v>0.27500000000000002</v>
      </c>
      <c r="N10" s="72">
        <f t="shared" ca="1" si="1"/>
        <v>18.617504570842538</v>
      </c>
      <c r="O10" s="4">
        <f t="shared" ca="1" si="0"/>
        <v>9</v>
      </c>
      <c r="P10" s="108" t="s">
        <v>6</v>
      </c>
    </row>
    <row r="11" spans="1:16" x14ac:dyDescent="0.3">
      <c r="A11" s="10" t="s">
        <v>7</v>
      </c>
      <c r="B11" s="29" cm="1">
        <f t="array" aca="1" ref="B11" ca="1">Ocjene!B11/INDIRECT("Ocjene!" &amp; CHAR(66 + COLUMN(A6) - 1) &amp; $A$34)</f>
        <v>1.0666666666666667</v>
      </c>
      <c r="C11" s="29" cm="1">
        <f t="array" aca="1" ref="C11" ca="1">Ocjene!C11/INDIRECT("Ocjene!" &amp; CHAR(66 + COLUMN(B6) - 1) &amp; $A$34)</f>
        <v>1.2</v>
      </c>
      <c r="D11" s="29" cm="1">
        <f t="array" aca="1" ref="D11" ca="1">Ocjene!D11/INDIRECT("Ocjene!" &amp; CHAR(66 + COLUMN(C6) - 1) &amp; $A$34)</f>
        <v>1.3908205841446455</v>
      </c>
      <c r="E11" s="29" cm="1">
        <f t="array" aca="1" ref="E11" ca="1">Ocjene!E11/INDIRECT("Ocjene!" &amp; CHAR(66 + COLUMN(D6) - 1) &amp; $A$34)</f>
        <v>9.8636363636363633</v>
      </c>
      <c r="F11" s="29" cm="1">
        <f t="array" aca="1" ref="F11" ca="1">Ocjene!F11/INDIRECT("Ocjene!" &amp; CHAR(66 + COLUMN(E6) - 1) &amp; $A$34)</f>
        <v>0.76190476190476186</v>
      </c>
      <c r="G11" s="29" cm="1">
        <f t="array" aca="1" ref="G11" ca="1">Ocjene!G11/INDIRECT("Ocjene!" &amp; CHAR(66 + COLUMN(F6) - 1) &amp; $A$34)</f>
        <v>1.5</v>
      </c>
      <c r="H11" s="29" cm="1">
        <f t="array" aca="1" ref="H11" ca="1">Ocjene!H11/INDIRECT("Ocjene!" &amp; CHAR(66 + COLUMN(G6) - 1) &amp; $A$34)</f>
        <v>3</v>
      </c>
      <c r="I11" s="29" cm="1">
        <f t="array" aca="1" ref="I11" ca="1">Ocjene!I11/INDIRECT("Ocjene!" &amp; CHAR(66 + COLUMN(H6) - 1) &amp; $A$34)</f>
        <v>0.81587301587301597</v>
      </c>
      <c r="J11" s="29" cm="1">
        <f t="array" aca="1" ref="J11" ca="1">Ocjene!J11/INDIRECT("Ocjene!" &amp; CHAR(66 + COLUMN(I6) - 1) &amp; $A$34)</f>
        <v>1</v>
      </c>
      <c r="K11" s="29" cm="1">
        <f t="array" aca="1" ref="K11" ca="1">Ocjene!K11/INDIRECT("Ocjene!" &amp; CHAR(66 + COLUMN(J6) - 1) &amp; $A$34)</f>
        <v>0.53846153846153844</v>
      </c>
      <c r="L11" s="29" cm="1">
        <f t="array" aca="1" ref="L11" ca="1">Ocjene!L11/INDIRECT("Ocjene!" &amp; CHAR(66 + COLUMN(K6) - 1) &amp; $A$34)</f>
        <v>0.6</v>
      </c>
      <c r="M11" s="29" cm="1">
        <f t="array" aca="1" ref="M11" ca="1">Ocjene!M11/INDIRECT("Ocjene!" &amp; CHAR(66 + COLUMN(L6) - 1) &amp; $A$34)</f>
        <v>0.25</v>
      </c>
      <c r="N11" s="72">
        <f t="shared" ca="1" si="1"/>
        <v>19.210439853763916</v>
      </c>
      <c r="O11" s="4">
        <f t="shared" ca="1" si="0"/>
        <v>7</v>
      </c>
      <c r="P11" s="108" t="s">
        <v>7</v>
      </c>
    </row>
    <row r="12" spans="1:16" x14ac:dyDescent="0.3">
      <c r="A12" s="10" t="s">
        <v>8</v>
      </c>
      <c r="B12" s="29" cm="1">
        <f t="array" aca="1" ref="B12" ca="1">Ocjene!B12/INDIRECT("Ocjene!" &amp; CHAR(66 + COLUMN(A7) - 1) &amp; $A$34)</f>
        <v>1.0666666666666667</v>
      </c>
      <c r="C12" s="29" cm="1">
        <f t="array" aca="1" ref="C12" ca="1">Ocjene!C12/INDIRECT("Ocjene!" &amp; CHAR(66 + COLUMN(B7) - 1) &amp; $A$34)</f>
        <v>0.9</v>
      </c>
      <c r="D12" s="29" cm="1">
        <f t="array" aca="1" ref="D12" ca="1">Ocjene!D12/INDIRECT("Ocjene!" &amp; CHAR(66 + COLUMN(C7) - 1) &amp; $A$34)</f>
        <v>1.3157162726008345</v>
      </c>
      <c r="E12" s="29" cm="1">
        <f t="array" aca="1" ref="E12" ca="1">Ocjene!E12/INDIRECT("Ocjene!" &amp; CHAR(66 + COLUMN(D7) - 1) &amp; $A$34)</f>
        <v>3.6363636363636362</v>
      </c>
      <c r="F12" s="29" cm="1">
        <f t="array" aca="1" ref="F12" ca="1">Ocjene!F12/INDIRECT("Ocjene!" &amp; CHAR(66 + COLUMN(E7) - 1) &amp; $A$34)</f>
        <v>0.80357142857142849</v>
      </c>
      <c r="G12" s="29" cm="1">
        <f t="array" aca="1" ref="G12" ca="1">Ocjene!G12/INDIRECT("Ocjene!" &amp; CHAR(66 + COLUMN(F7) - 1) &amp; $A$34)</f>
        <v>1.1000000000000001</v>
      </c>
      <c r="H12" s="29" cm="1">
        <f t="array" aca="1" ref="H12" ca="1">Ocjene!H12/INDIRECT("Ocjene!" &amp; CHAR(66 + COLUMN(G7) - 1) &amp; $A$34)</f>
        <v>2.75</v>
      </c>
      <c r="I12" s="29" cm="1">
        <f t="array" aca="1" ref="I12" ca="1">Ocjene!I12/INDIRECT("Ocjene!" &amp; CHAR(66 + COLUMN(H7) - 1) &amp; $A$34)</f>
        <v>0.80158730158730163</v>
      </c>
      <c r="J12" s="29" cm="1">
        <f t="array" aca="1" ref="J12" ca="1">Ocjene!J12/INDIRECT("Ocjene!" &amp; CHAR(66 + COLUMN(I7) - 1) &amp; $A$34)</f>
        <v>1</v>
      </c>
      <c r="K12" s="29" cm="1">
        <f t="array" aca="1" ref="K12" ca="1">Ocjene!K12/INDIRECT("Ocjene!" &amp; CHAR(66 + COLUMN(J7) - 1) &amp; $A$34)</f>
        <v>0.65384615384615385</v>
      </c>
      <c r="L12" s="29" cm="1">
        <f t="array" aca="1" ref="L12" ca="1">Ocjene!L12/INDIRECT("Ocjene!" &amp; CHAR(66 + COLUMN(K7) - 1) &amp; $A$34)</f>
        <v>0.66666666666666663</v>
      </c>
      <c r="M12" s="29" cm="1">
        <f t="array" aca="1" ref="M12" ca="1">Ocjene!M12/INDIRECT("Ocjene!" &amp; CHAR(66 + COLUMN(L7) - 1) &amp; $A$34)</f>
        <v>0.3125</v>
      </c>
      <c r="N12" s="72">
        <f t="shared" ca="1" si="1"/>
        <v>11.740892485277048</v>
      </c>
      <c r="O12" s="4">
        <f t="shared" ca="1" si="0"/>
        <v>21</v>
      </c>
      <c r="P12" s="108" t="s">
        <v>8</v>
      </c>
    </row>
    <row r="13" spans="1:16" x14ac:dyDescent="0.3">
      <c r="A13" s="10" t="s">
        <v>9</v>
      </c>
      <c r="B13" s="29" cm="1">
        <f t="array" aca="1" ref="B13" ca="1">Ocjene!B13/INDIRECT("Ocjene!" &amp; CHAR(66 + COLUMN(A8) - 1) &amp; $A$34)</f>
        <v>1</v>
      </c>
      <c r="C13" s="29" cm="1">
        <f t="array" aca="1" ref="C13" ca="1">Ocjene!C13/INDIRECT("Ocjene!" &amp; CHAR(66 + COLUMN(B8) - 1) &amp; $A$34)</f>
        <v>1.2</v>
      </c>
      <c r="D13" s="29" cm="1">
        <f t="array" aca="1" ref="D13" ca="1">Ocjene!D13/INDIRECT("Ocjene!" &amp; CHAR(66 + COLUMN(C8) - 1) &amp; $A$34)</f>
        <v>1.2350486787204449</v>
      </c>
      <c r="E13" s="29" cm="1">
        <f t="array" aca="1" ref="E13" ca="1">Ocjene!E13/INDIRECT("Ocjene!" &amp; CHAR(66 + COLUMN(D8) - 1) &amp; $A$34)</f>
        <v>2.5</v>
      </c>
      <c r="F13" s="29" cm="1">
        <f t="array" aca="1" ref="F13" ca="1">Ocjene!F13/INDIRECT("Ocjene!" &amp; CHAR(66 + COLUMN(E8) - 1) &amp; $A$34)</f>
        <v>0.84642857142857131</v>
      </c>
      <c r="G13" s="29" cm="1">
        <f t="array" aca="1" ref="G13" ca="1">Ocjene!G13/INDIRECT("Ocjene!" &amp; CHAR(66 + COLUMN(F8) - 1) &amp; $A$34)</f>
        <v>1.1000000000000001</v>
      </c>
      <c r="H13" s="29" cm="1">
        <f t="array" aca="1" ref="H13" ca="1">Ocjene!H13/INDIRECT("Ocjene!" &amp; CHAR(66 + COLUMN(G8) - 1) &amp; $A$34)</f>
        <v>2.75</v>
      </c>
      <c r="I13" s="29" cm="1">
        <f t="array" aca="1" ref="I13" ca="1">Ocjene!I13/INDIRECT("Ocjene!" &amp; CHAR(66 + COLUMN(H8) - 1) &amp; $A$34)</f>
        <v>1.0244444444444445</v>
      </c>
      <c r="J13" s="29" cm="1">
        <f t="array" aca="1" ref="J13" ca="1">Ocjene!J13/INDIRECT("Ocjene!" &amp; CHAR(66 + COLUMN(I8) - 1) &amp; $A$34)</f>
        <v>1</v>
      </c>
      <c r="K13" s="29" cm="1">
        <f t="array" aca="1" ref="K13" ca="1">Ocjene!K13/INDIRECT("Ocjene!" &amp; CHAR(66 + COLUMN(J8) - 1) &amp; $A$34)</f>
        <v>0.80769230769230771</v>
      </c>
      <c r="L13" s="29" cm="1">
        <f t="array" aca="1" ref="L13" ca="1">Ocjene!L13/INDIRECT("Ocjene!" &amp; CHAR(66 + COLUMN(K8) - 1) &amp; $A$34)</f>
        <v>0.66666666666666663</v>
      </c>
      <c r="M13" s="29" cm="1">
        <f t="array" aca="1" ref="M13" ca="1">Ocjene!M13/INDIRECT("Ocjene!" &amp; CHAR(66 + COLUMN(L8) - 1) &amp; $A$34)</f>
        <v>0.3125</v>
      </c>
      <c r="N13" s="72">
        <f t="shared" ca="1" si="1"/>
        <v>10.869062720234487</v>
      </c>
      <c r="O13" s="4">
        <f t="shared" ca="1" si="0"/>
        <v>24</v>
      </c>
      <c r="P13" s="108" t="s">
        <v>9</v>
      </c>
    </row>
    <row r="14" spans="1:16" x14ac:dyDescent="0.3">
      <c r="A14" s="10" t="s">
        <v>10</v>
      </c>
      <c r="B14" s="29" cm="1">
        <f t="array" aca="1" ref="B14" ca="1">Ocjene!B14/INDIRECT("Ocjene!" &amp; CHAR(66 + COLUMN(A9) - 1) &amp; $A$34)</f>
        <v>1.0666666666666667</v>
      </c>
      <c r="C14" s="29" cm="1">
        <f t="array" aca="1" ref="C14" ca="1">Ocjene!C14/INDIRECT("Ocjene!" &amp; CHAR(66 + COLUMN(B9) - 1) &amp; $A$34)</f>
        <v>1.3</v>
      </c>
      <c r="D14" s="29" cm="1">
        <f t="array" aca="1" ref="D14" ca="1">Ocjene!D14/INDIRECT("Ocjene!" &amp; CHAR(66 + COLUMN(C9) - 1) &amp; $A$34)</f>
        <v>1.3157162726008347</v>
      </c>
      <c r="E14" s="29" cm="1">
        <f t="array" aca="1" ref="E14" ca="1">Ocjene!E14/INDIRECT("Ocjene!" &amp; CHAR(66 + COLUMN(D9) - 1) &amp; $A$34)</f>
        <v>4.4090909090909092</v>
      </c>
      <c r="F14" s="29" cm="1">
        <f t="array" aca="1" ref="F14" ca="1">Ocjene!F14/INDIRECT("Ocjene!" &amp; CHAR(66 + COLUMN(E9) - 1) &amp; $A$34)</f>
        <v>0.68571428571428561</v>
      </c>
      <c r="G14" s="29" cm="1">
        <f t="array" aca="1" ref="G14" ca="1">Ocjene!G14/INDIRECT("Ocjene!" &amp; CHAR(66 + COLUMN(F9) - 1) &amp; $A$34)</f>
        <v>1.35</v>
      </c>
      <c r="H14" s="29" cm="1">
        <f t="array" aca="1" ref="H14" ca="1">Ocjene!H14/INDIRECT("Ocjene!" &amp; CHAR(66 + COLUMN(G9) - 1) &amp; $A$34)</f>
        <v>4.5</v>
      </c>
      <c r="I14" s="29" cm="1">
        <f t="array" aca="1" ref="I14" ca="1">Ocjene!I14/INDIRECT("Ocjene!" &amp; CHAR(66 + COLUMN(H9) - 1) &amp; $A$34)</f>
        <v>0.15873015873015872</v>
      </c>
      <c r="J14" s="29" cm="1">
        <f t="array" aca="1" ref="J14" ca="1">Ocjene!J14/INDIRECT("Ocjene!" &amp; CHAR(66 + COLUMN(I9) - 1) &amp; $A$34)</f>
        <v>1</v>
      </c>
      <c r="K14" s="29" cm="1">
        <f t="array" aca="1" ref="K14" ca="1">Ocjene!K14/INDIRECT("Ocjene!" &amp; CHAR(66 + COLUMN(J9) - 1) &amp; $A$34)</f>
        <v>7.6923076923076927E-2</v>
      </c>
      <c r="L14" s="29" cm="1">
        <f t="array" aca="1" ref="L14" ca="1">Ocjene!L14/INDIRECT("Ocjene!" &amp; CHAR(66 + COLUMN(K9) - 1) &amp; $A$34)</f>
        <v>0.33333333333333331</v>
      </c>
      <c r="M14" s="29" cm="1">
        <f t="array" aca="1" ref="M14" ca="1">Ocjene!M14/INDIRECT("Ocjene!" &amp; CHAR(66 + COLUMN(L9) - 1) &amp; $A$34)</f>
        <v>0.25</v>
      </c>
      <c r="N14" s="72">
        <f t="shared" ca="1" si="1"/>
        <v>15.125661882546444</v>
      </c>
      <c r="O14" s="4">
        <f t="shared" ca="1" si="0"/>
        <v>13</v>
      </c>
      <c r="P14" s="108" t="s">
        <v>10</v>
      </c>
    </row>
    <row r="15" spans="1:16" x14ac:dyDescent="0.3">
      <c r="A15" s="10" t="s">
        <v>11</v>
      </c>
      <c r="B15" s="29" cm="1">
        <f t="array" aca="1" ref="B15" ca="1">Ocjene!B15/INDIRECT("Ocjene!" &amp; CHAR(66 + COLUMN(A10) - 1) &amp; $A$34)</f>
        <v>1.0666666666666667</v>
      </c>
      <c r="C15" s="29" cm="1">
        <f t="array" aca="1" ref="C15" ca="1">Ocjene!C15/INDIRECT("Ocjene!" &amp; CHAR(66 + COLUMN(B10) - 1) &amp; $A$34)</f>
        <v>1.8</v>
      </c>
      <c r="D15" s="29" cm="1">
        <f t="array" aca="1" ref="D15" ca="1">Ocjene!D15/INDIRECT("Ocjene!" &amp; CHAR(66 + COLUMN(C10) - 1) &amp; $A$34)</f>
        <v>1.2739916550764951</v>
      </c>
      <c r="E15" s="29" cm="1">
        <f t="array" aca="1" ref="E15" ca="1">Ocjene!E15/INDIRECT("Ocjene!" &amp; CHAR(66 + COLUMN(D10) - 1) &amp; $A$34)</f>
        <v>8.954545454545455</v>
      </c>
      <c r="F15" s="29" cm="1">
        <f t="array" aca="1" ref="F15" ca="1">Ocjene!F15/INDIRECT("Ocjene!" &amp; CHAR(66 + COLUMN(E10) - 1) &amp; $A$34)</f>
        <v>0.69345238095238093</v>
      </c>
      <c r="G15" s="29" cm="1">
        <f t="array" aca="1" ref="G15" ca="1">Ocjene!G15/INDIRECT("Ocjene!" &amp; CHAR(66 + COLUMN(F10) - 1) &amp; $A$34)</f>
        <v>1</v>
      </c>
      <c r="H15" s="29" cm="1">
        <f t="array" aca="1" ref="H15" ca="1">Ocjene!H15/INDIRECT("Ocjene!" &amp; CHAR(66 + COLUMN(G10) - 1) &amp; $A$34)</f>
        <v>5</v>
      </c>
      <c r="I15" s="29" cm="1">
        <f t="array" aca="1" ref="I15" ca="1">Ocjene!I15/INDIRECT("Ocjene!" &amp; CHAR(66 + COLUMN(H10) - 1) &amp; $A$34)</f>
        <v>0.23650793650793656</v>
      </c>
      <c r="J15" s="29" cm="1">
        <f t="array" aca="1" ref="J15" ca="1">Ocjene!J15/INDIRECT("Ocjene!" &amp; CHAR(66 + COLUMN(I10) - 1) &amp; $A$34)</f>
        <v>0.91666666666666663</v>
      </c>
      <c r="K15" s="29" cm="1">
        <f t="array" aca="1" ref="K15" ca="1">Ocjene!K15/INDIRECT("Ocjene!" &amp; CHAR(66 + COLUMN(J10) - 1) &amp; $A$34)</f>
        <v>0.23076923076923078</v>
      </c>
      <c r="L15" s="29" cm="1">
        <f t="array" aca="1" ref="L15" ca="1">Ocjene!L15/INDIRECT("Ocjene!" &amp; CHAR(66 + COLUMN(K10) - 1) &amp; $A$34)</f>
        <v>0.5066666666666666</v>
      </c>
      <c r="M15" s="29" cm="1">
        <f t="array" aca="1" ref="M15" ca="1">Ocjene!M15/INDIRECT("Ocjene!" &amp; CHAR(66 + COLUMN(L10) - 1) &amp; $A$34)</f>
        <v>0.375</v>
      </c>
      <c r="N15" s="72">
        <f t="shared" ca="1" si="1"/>
        <v>19.829394862979708</v>
      </c>
      <c r="O15" s="4">
        <f t="shared" ca="1" si="0"/>
        <v>3</v>
      </c>
      <c r="P15" s="108" t="s">
        <v>11</v>
      </c>
    </row>
    <row r="16" spans="1:16" x14ac:dyDescent="0.3">
      <c r="A16" s="10" t="s">
        <v>12</v>
      </c>
      <c r="B16" s="29" cm="1">
        <f t="array" aca="1" ref="B16" ca="1">Ocjene!B16/INDIRECT("Ocjene!" &amp; CHAR(66 + COLUMN(A11) - 1) &amp; $A$34)</f>
        <v>1</v>
      </c>
      <c r="C16" s="29" cm="1">
        <f t="array" aca="1" ref="C16" ca="1">Ocjene!C16/INDIRECT("Ocjene!" &amp; CHAR(66 + COLUMN(B11) - 1) &amp; $A$34)</f>
        <v>1.4</v>
      </c>
      <c r="D16" s="29" cm="1">
        <f t="array" aca="1" ref="D16" ca="1">Ocjene!D16/INDIRECT("Ocjene!" &amp; CHAR(66 + COLUMN(C11) - 1) &amp; $A$34)</f>
        <v>1.3435326842837274</v>
      </c>
      <c r="E16" s="29" cm="1">
        <f t="array" aca="1" ref="E16" ca="1">Ocjene!E16/INDIRECT("Ocjene!" &amp; CHAR(66 + COLUMN(D11) - 1) &amp; $A$34)</f>
        <v>10.545454545454545</v>
      </c>
      <c r="F16" s="29" cm="1">
        <f t="array" aca="1" ref="F16" ca="1">Ocjene!F16/INDIRECT("Ocjene!" &amp; CHAR(66 + COLUMN(E11) - 1) &amp; $A$34)</f>
        <v>0.5357142857142857</v>
      </c>
      <c r="G16" s="29" cm="1">
        <f t="array" aca="1" ref="G16" ca="1">Ocjene!G16/INDIRECT("Ocjene!" &amp; CHAR(66 + COLUMN(F11) - 1) &amp; $A$34)</f>
        <v>1.5</v>
      </c>
      <c r="H16" s="29" cm="1">
        <f t="array" aca="1" ref="H16" ca="1">Ocjene!H16/INDIRECT("Ocjene!" &amp; CHAR(66 + COLUMN(G11) - 1) &amp; $A$34)</f>
        <v>3</v>
      </c>
      <c r="I16" s="29" cm="1">
        <f t="array" aca="1" ref="I16" ca="1">Ocjene!I16/INDIRECT("Ocjene!" &amp; CHAR(66 + COLUMN(H11) - 1) &amp; $A$34)</f>
        <v>0.82539682539682535</v>
      </c>
      <c r="J16" s="29" cm="1">
        <f t="array" aca="1" ref="J16" ca="1">Ocjene!J16/INDIRECT("Ocjene!" &amp; CHAR(66 + COLUMN(I11) - 1) &amp; $A$34)</f>
        <v>0.75</v>
      </c>
      <c r="K16" s="29" cm="1">
        <f t="array" aca="1" ref="K16" ca="1">Ocjene!K16/INDIRECT("Ocjene!" &amp; CHAR(66 + COLUMN(J11) - 1) &amp; $A$34)</f>
        <v>0.69230769230769229</v>
      </c>
      <c r="L16" s="29" cm="1">
        <f t="array" aca="1" ref="L16" ca="1">Ocjene!L16/INDIRECT("Ocjene!" &amp; CHAR(66 + COLUMN(K11) - 1) &amp; $A$34)</f>
        <v>0.66666666666666663</v>
      </c>
      <c r="M16" s="29" cm="1">
        <f t="array" aca="1" ref="M16" ca="1">Ocjene!M16/INDIRECT("Ocjene!" &amp; CHAR(66 + COLUMN(L11) - 1) &amp; $A$34)</f>
        <v>0.27500000000000002</v>
      </c>
      <c r="N16" s="72">
        <f t="shared" ca="1" si="1"/>
        <v>19.266123981875026</v>
      </c>
      <c r="O16" s="4">
        <f t="shared" ca="1" si="0"/>
        <v>6</v>
      </c>
      <c r="P16" s="108" t="s">
        <v>12</v>
      </c>
    </row>
    <row r="17" spans="1:16" x14ac:dyDescent="0.3">
      <c r="A17" s="10" t="s">
        <v>13</v>
      </c>
      <c r="B17" s="29" cm="1">
        <f t="array" aca="1" ref="B17" ca="1">Ocjene!B17/INDIRECT("Ocjene!" &amp; CHAR(66 + COLUMN(A12) - 1) &amp; $A$34)</f>
        <v>1</v>
      </c>
      <c r="C17" s="29" cm="1">
        <f t="array" aca="1" ref="C17" ca="1">Ocjene!C17/INDIRECT("Ocjene!" &amp; CHAR(66 + COLUMN(B12) - 1) &amp; $A$34)</f>
        <v>1.6</v>
      </c>
      <c r="D17" s="29" cm="1">
        <f t="array" aca="1" ref="D17" ca="1">Ocjene!D17/INDIRECT("Ocjene!" &amp; CHAR(66 + COLUMN(C12) - 1) &amp; $A$34)</f>
        <v>1.2183588317107092</v>
      </c>
      <c r="E17" s="29" cm="1">
        <f t="array" aca="1" ref="E17" ca="1">Ocjene!E17/INDIRECT("Ocjene!" &amp; CHAR(66 + COLUMN(D12) - 1) &amp; $A$34)</f>
        <v>6.5909090909090908</v>
      </c>
      <c r="F17" s="29" cm="1">
        <f t="array" aca="1" ref="F17" ca="1">Ocjene!F17/INDIRECT("Ocjene!" &amp; CHAR(66 + COLUMN(E12) - 1) &amp; $A$34)</f>
        <v>0.8571428571428571</v>
      </c>
      <c r="G17" s="29" cm="1">
        <f t="array" aca="1" ref="G17" ca="1">Ocjene!G17/INDIRECT("Ocjene!" &amp; CHAR(66 + COLUMN(F12) - 1) &amp; $A$34)</f>
        <v>1</v>
      </c>
      <c r="H17" s="29" cm="1">
        <f t="array" aca="1" ref="H17" ca="1">Ocjene!H17/INDIRECT("Ocjene!" &amp; CHAR(66 + COLUMN(G12) - 1) &amp; $A$34)</f>
        <v>2.25</v>
      </c>
      <c r="I17" s="29" cm="1">
        <f t="array" aca="1" ref="I17" ca="1">Ocjene!I17/INDIRECT("Ocjene!" &amp; CHAR(66 + COLUMN(H12) - 1) &amp; $A$34)</f>
        <v>1.0952380952380953</v>
      </c>
      <c r="J17" s="29" cm="1">
        <f t="array" aca="1" ref="J17" ca="1">Ocjene!J17/INDIRECT("Ocjene!" &amp; CHAR(66 + COLUMN(I12) - 1) &amp; $A$34)</f>
        <v>1.3333333333333333</v>
      </c>
      <c r="K17" s="29" cm="1">
        <f t="array" aca="1" ref="K17" ca="1">Ocjene!K17/INDIRECT("Ocjene!" &amp; CHAR(66 + COLUMN(J12) - 1) &amp; $A$34)</f>
        <v>0.80769230769230771</v>
      </c>
      <c r="L17" s="29" cm="1">
        <f t="array" aca="1" ref="L17" ca="1">Ocjene!L17/INDIRECT("Ocjene!" &amp; CHAR(66 + COLUMN(K12) - 1) &amp; $A$34)</f>
        <v>0.96666666666666667</v>
      </c>
      <c r="M17" s="29" cm="1">
        <f t="array" aca="1" ref="M17" ca="1">Ocjene!M17/INDIRECT("Ocjene!" &amp; CHAR(66 + COLUMN(L12) - 1) &amp; $A$34)</f>
        <v>0.625</v>
      </c>
      <c r="N17" s="72">
        <f t="shared" ca="1" si="1"/>
        <v>14.54562323397511</v>
      </c>
      <c r="O17" s="4">
        <f t="shared" ca="1" si="0"/>
        <v>16</v>
      </c>
      <c r="P17" s="108" t="s">
        <v>13</v>
      </c>
    </row>
    <row r="18" spans="1:16" x14ac:dyDescent="0.3">
      <c r="A18" s="10" t="s">
        <v>14</v>
      </c>
      <c r="B18" s="29" cm="1">
        <f t="array" aca="1" ref="B18" ca="1">Ocjene!B18/INDIRECT("Ocjene!" &amp; CHAR(66 + COLUMN(A13) - 1) &amp; $A$34)</f>
        <v>1</v>
      </c>
      <c r="C18" s="29" cm="1">
        <f t="array" aca="1" ref="C18" ca="1">Ocjene!C18/INDIRECT("Ocjene!" &amp; CHAR(66 + COLUMN(B13) - 1) &amp; $A$34)</f>
        <v>1.6</v>
      </c>
      <c r="D18" s="29" cm="1">
        <f t="array" aca="1" ref="D18" ca="1">Ocjene!D18/INDIRECT("Ocjene!" &amp; CHAR(66 + COLUMN(C13) - 1) &amp; $A$34)</f>
        <v>0.94993045897079265</v>
      </c>
      <c r="E18" s="29" cm="1">
        <f t="array" aca="1" ref="E18" ca="1">Ocjene!E18/INDIRECT("Ocjene!" &amp; CHAR(66 + COLUMN(D13) - 1) &amp; $A$34)</f>
        <v>3.3636363636363638</v>
      </c>
      <c r="F18" s="29" cm="1">
        <f t="array" aca="1" ref="F18" ca="1">Ocjene!F18/INDIRECT("Ocjene!" &amp; CHAR(66 + COLUMN(E13) - 1) &amp; $A$34)</f>
        <v>0.83333333333333326</v>
      </c>
      <c r="G18" s="29" cm="1">
        <f t="array" aca="1" ref="G18" ca="1">Ocjene!G18/INDIRECT("Ocjene!" &amp; CHAR(66 + COLUMN(F13) - 1) &amp; $A$34)</f>
        <v>1.6</v>
      </c>
      <c r="H18" s="29" cm="1">
        <f t="array" aca="1" ref="H18" ca="1">Ocjene!H18/INDIRECT("Ocjene!" &amp; CHAR(66 + COLUMN(G13) - 1) &amp; $A$34)</f>
        <v>5</v>
      </c>
      <c r="I18" s="29" cm="1">
        <f t="array" aca="1" ref="I18" ca="1">Ocjene!I18/INDIRECT("Ocjene!" &amp; CHAR(66 + COLUMN(H13) - 1) &amp; $A$34)</f>
        <v>0.76190476190476186</v>
      </c>
      <c r="J18" s="29" cm="1">
        <f t="array" aca="1" ref="J18" ca="1">Ocjene!J18/INDIRECT("Ocjene!" &amp; CHAR(66 + COLUMN(I13) - 1) &amp; $A$34)</f>
        <v>0.91666666666666663</v>
      </c>
      <c r="K18" s="29" cm="1">
        <f t="array" aca="1" ref="K18" ca="1">Ocjene!K18/INDIRECT("Ocjene!" &amp; CHAR(66 + COLUMN(J13) - 1) &amp; $A$34)</f>
        <v>0.46153846153846156</v>
      </c>
      <c r="L18" s="29" cm="1">
        <f t="array" aca="1" ref="L18" ca="1">Ocjene!L18/INDIRECT("Ocjene!" &amp; CHAR(66 + COLUMN(K13) - 1) &amp; $A$34)</f>
        <v>0.56000000000000005</v>
      </c>
      <c r="M18" s="29" cm="1">
        <f t="array" aca="1" ref="M18" ca="1">Ocjene!M18/INDIRECT("Ocjene!" &amp; CHAR(66 + COLUMN(L13) - 1) &amp; $A$34)</f>
        <v>0.25</v>
      </c>
      <c r="N18" s="72">
        <f t="shared" ca="1" si="1"/>
        <v>14.753933122973457</v>
      </c>
      <c r="O18" s="4">
        <f t="shared" ca="1" si="0"/>
        <v>15</v>
      </c>
      <c r="P18" s="108" t="s">
        <v>14</v>
      </c>
    </row>
    <row r="19" spans="1:16" x14ac:dyDescent="0.3">
      <c r="A19" s="10" t="s">
        <v>15</v>
      </c>
      <c r="B19" s="29" cm="1">
        <f t="array" aca="1" ref="B19" ca="1">Ocjene!B19/INDIRECT("Ocjene!" &amp; CHAR(66 + COLUMN(A14) - 1) &amp; $A$34)</f>
        <v>1.0666666666666667</v>
      </c>
      <c r="C19" s="29" cm="1">
        <f t="array" aca="1" ref="C19" ca="1">Ocjene!C19/INDIRECT("Ocjene!" &amp; CHAR(66 + COLUMN(B14) - 1) &amp; $A$34)</f>
        <v>1.5</v>
      </c>
      <c r="D19" s="29" cm="1">
        <f t="array" aca="1" ref="D19" ca="1">Ocjene!D19/INDIRECT("Ocjene!" &amp; CHAR(66 + COLUMN(C14) - 1) &amp; $A$34)</f>
        <v>1.3727399165507648</v>
      </c>
      <c r="E19" s="29" cm="1">
        <f t="array" aca="1" ref="E19" ca="1">Ocjene!E19/INDIRECT("Ocjene!" &amp; CHAR(66 + COLUMN(D14) - 1) &amp; $A$34)</f>
        <v>7.4545454545454541</v>
      </c>
      <c r="F19" s="29" cm="1">
        <f t="array" aca="1" ref="F19" ca="1">Ocjene!F19/INDIRECT("Ocjene!" &amp; CHAR(66 + COLUMN(E14) - 1) &amp; $A$34)</f>
        <v>0.66666666666666674</v>
      </c>
      <c r="G19" s="29" cm="1">
        <f t="array" aca="1" ref="G19" ca="1">Ocjene!G19/INDIRECT("Ocjene!" &amp; CHAR(66 + COLUMN(F14) - 1) &amp; $A$34)</f>
        <v>2.5</v>
      </c>
      <c r="H19" s="29" cm="1">
        <f t="array" aca="1" ref="H19" ca="1">Ocjene!H19/INDIRECT("Ocjene!" &amp; CHAR(66 + COLUMN(G14) - 1) &amp; $A$34)</f>
        <v>4.25</v>
      </c>
      <c r="I19" s="29" cm="1">
        <f t="array" aca="1" ref="I19" ca="1">Ocjene!I19/INDIRECT("Ocjene!" &amp; CHAR(66 + COLUMN(H14) - 1) &amp; $A$34)</f>
        <v>1.0476190476190477</v>
      </c>
      <c r="J19" s="29" cm="1">
        <f t="array" aca="1" ref="J19" ca="1">Ocjene!J19/INDIRECT("Ocjene!" &amp; CHAR(66 + COLUMN(I14) - 1) &amp; $A$34)</f>
        <v>0.83333333333333337</v>
      </c>
      <c r="K19" s="29" cm="1">
        <f t="array" aca="1" ref="K19" ca="1">Ocjene!K19/INDIRECT("Ocjene!" &amp; CHAR(66 + COLUMN(J14) - 1) &amp; $A$34)</f>
        <v>0.23076923076923078</v>
      </c>
      <c r="L19" s="29" cm="1">
        <f t="array" aca="1" ref="L19" ca="1">Ocjene!L19/INDIRECT("Ocjene!" &amp; CHAR(66 + COLUMN(K14) - 1) &amp; $A$34)</f>
        <v>0.8</v>
      </c>
      <c r="M19" s="29" cm="1">
        <f t="array" aca="1" ref="M19" ca="1">Ocjene!M19/INDIRECT("Ocjene!" &amp; CHAR(66 + COLUMN(L14) - 1) &amp; $A$34)</f>
        <v>0.25</v>
      </c>
      <c r="N19" s="72">
        <f t="shared" ca="1" si="1"/>
        <v>19.4108018546127</v>
      </c>
      <c r="O19" s="4">
        <f t="shared" ca="1" si="0"/>
        <v>4</v>
      </c>
      <c r="P19" s="108" t="s">
        <v>15</v>
      </c>
    </row>
    <row r="20" spans="1:16" x14ac:dyDescent="0.3">
      <c r="A20" s="10" t="s">
        <v>16</v>
      </c>
      <c r="B20" s="29" cm="1">
        <f t="array" aca="1" ref="B20" ca="1">Ocjene!B20/INDIRECT("Ocjene!" &amp; CHAR(66 + COLUMN(A15) - 1) &amp; $A$34)</f>
        <v>1</v>
      </c>
      <c r="C20" s="29" cm="1">
        <f t="array" aca="1" ref="C20" ca="1">Ocjene!C20/INDIRECT("Ocjene!" &amp; CHAR(66 + COLUMN(B15) - 1) &amp; $A$34)</f>
        <v>1.1000000000000001</v>
      </c>
      <c r="D20" s="29" cm="1">
        <f t="array" aca="1" ref="D20" ca="1">Ocjene!D20/INDIRECT("Ocjene!" &amp; CHAR(66 + COLUMN(C15) - 1) &amp; $A$34)</f>
        <v>1.2906815020862308</v>
      </c>
      <c r="E20" s="29" cm="1">
        <f t="array" aca="1" ref="E20" ca="1">Ocjene!E20/INDIRECT("Ocjene!" &amp; CHAR(66 + COLUMN(D15) - 1) &amp; $A$34)</f>
        <v>5.5454545454545459</v>
      </c>
      <c r="F20" s="29" cm="1">
        <f t="array" aca="1" ref="F20" ca="1">Ocjene!F20/INDIRECT("Ocjene!" &amp; CHAR(66 + COLUMN(E15) - 1) &amp; $A$34)</f>
        <v>0.88095238095238093</v>
      </c>
      <c r="G20" s="29" cm="1">
        <f t="array" aca="1" ref="G20" ca="1">Ocjene!G20/INDIRECT("Ocjene!" &amp; CHAR(66 + COLUMN(F15) - 1) &amp; $A$34)</f>
        <v>1</v>
      </c>
      <c r="H20" s="29" cm="1">
        <f t="array" aca="1" ref="H20" ca="1">Ocjene!H20/INDIRECT("Ocjene!" &amp; CHAR(66 + COLUMN(G15) - 1) &amp; $A$34)</f>
        <v>1.75</v>
      </c>
      <c r="I20" s="29" cm="1">
        <f t="array" aca="1" ref="I20" ca="1">Ocjene!I20/INDIRECT("Ocjene!" &amp; CHAR(66 + COLUMN(H15) - 1) &amp; $A$34)</f>
        <v>1.285714285714286</v>
      </c>
      <c r="J20" s="29" cm="1">
        <f t="array" aca="1" ref="J20" ca="1">Ocjene!J20/INDIRECT("Ocjene!" &amp; CHAR(66 + COLUMN(I15) - 1) &amp; $A$34)</f>
        <v>0.91666666666666663</v>
      </c>
      <c r="K20" s="29" cm="1">
        <f t="array" aca="1" ref="K20" ca="1">Ocjene!K20/INDIRECT("Ocjene!" &amp; CHAR(66 + COLUMN(J15) - 1) &amp; $A$34)</f>
        <v>1.0769230769230769</v>
      </c>
      <c r="L20" s="29" cm="1">
        <f t="array" aca="1" ref="L20" ca="1">Ocjene!L20/INDIRECT("Ocjene!" &amp; CHAR(66 + COLUMN(K15) - 1) &amp; $A$34)</f>
        <v>0.76</v>
      </c>
      <c r="M20" s="29" cm="1">
        <f t="array" aca="1" ref="M20" ca="1">Ocjene!M20/INDIRECT("Ocjene!" &amp; CHAR(66 + COLUMN(L15) - 1) &amp; $A$34)</f>
        <v>1.25</v>
      </c>
      <c r="N20" s="72">
        <f t="shared" ca="1" si="1"/>
        <v>11.682546303951035</v>
      </c>
      <c r="O20" s="4">
        <f t="shared" ca="1" si="0"/>
        <v>22</v>
      </c>
      <c r="P20" s="108" t="s">
        <v>16</v>
      </c>
    </row>
    <row r="21" spans="1:16" x14ac:dyDescent="0.3">
      <c r="A21" s="10" t="s">
        <v>17</v>
      </c>
      <c r="B21" s="29" cm="1">
        <f t="array" aca="1" ref="B21" ca="1">Ocjene!B21/INDIRECT("Ocjene!" &amp; CHAR(66 + COLUMN(A16) - 1) &amp; $A$34)</f>
        <v>1.0666666666666667</v>
      </c>
      <c r="C21" s="29" cm="1">
        <f t="array" aca="1" ref="C21" ca="1">Ocjene!C21/INDIRECT("Ocjene!" &amp; CHAR(66 + COLUMN(B16) - 1) &amp; $A$34)</f>
        <v>1.2</v>
      </c>
      <c r="D21" s="29" cm="1">
        <f t="array" aca="1" ref="D21" ca="1">Ocjene!D21/INDIRECT("Ocjene!" &amp; CHAR(66 + COLUMN(C16) - 1) &amp; $A$34)</f>
        <v>1.3351877607788594</v>
      </c>
      <c r="E21" s="29" cm="1">
        <f t="array" aca="1" ref="E21" ca="1">Ocjene!E21/INDIRECT("Ocjene!" &amp; CHAR(66 + COLUMN(D16) - 1) &amp; $A$34)</f>
        <v>1.8181818181818181</v>
      </c>
      <c r="F21" s="29" cm="1">
        <f t="array" aca="1" ref="F21" ca="1">Ocjene!F21/INDIRECT("Ocjene!" &amp; CHAR(66 + COLUMN(E16) - 1) &amp; $A$34)</f>
        <v>0.68452380952380953</v>
      </c>
      <c r="G21" s="29" cm="1">
        <f t="array" aca="1" ref="G21" ca="1">Ocjene!G21/INDIRECT("Ocjene!" &amp; CHAR(66 + COLUMN(F16) - 1) &amp; $A$34)</f>
        <v>1.35</v>
      </c>
      <c r="H21" s="29" cm="1">
        <f t="array" aca="1" ref="H21" ca="1">Ocjene!H21/INDIRECT("Ocjene!" &amp; CHAR(66 + COLUMN(G16) - 1) &amp; $A$34)</f>
        <v>4.5</v>
      </c>
      <c r="I21" s="29" cm="1">
        <f t="array" aca="1" ref="I21" ca="1">Ocjene!I21/INDIRECT("Ocjene!" &amp; CHAR(66 + COLUMN(H16) - 1) &amp; $A$34)</f>
        <v>0.15873015873015872</v>
      </c>
      <c r="J21" s="29" cm="1">
        <f t="array" aca="1" ref="J21" ca="1">Ocjene!J21/INDIRECT("Ocjene!" &amp; CHAR(66 + COLUMN(I16) - 1) &amp; $A$34)</f>
        <v>1</v>
      </c>
      <c r="K21" s="29" cm="1">
        <f t="array" aca="1" ref="K21" ca="1">Ocjene!K21/INDIRECT("Ocjene!" &amp; CHAR(66 + COLUMN(J16) - 1) &amp; $A$34)</f>
        <v>7.6923076923076927E-2</v>
      </c>
      <c r="L21" s="29" cm="1">
        <f t="array" aca="1" ref="L21" ca="1">Ocjene!L21/INDIRECT("Ocjene!" &amp; CHAR(66 + COLUMN(K16) - 1) &amp; $A$34)</f>
        <v>0.33333333333333331</v>
      </c>
      <c r="M21" s="29" cm="1">
        <f t="array" aca="1" ref="M21" ca="1">Ocjene!M21/INDIRECT("Ocjene!" &amp; CHAR(66 + COLUMN(L16) - 1) &amp; $A$34)</f>
        <v>0.25</v>
      </c>
      <c r="N21" s="72">
        <f t="shared" ca="1" si="1"/>
        <v>12.453033803624901</v>
      </c>
      <c r="O21" s="4">
        <f t="shared" ca="1" si="0"/>
        <v>20</v>
      </c>
      <c r="P21" s="108" t="s">
        <v>17</v>
      </c>
    </row>
    <row r="22" spans="1:16" x14ac:dyDescent="0.3">
      <c r="A22" s="10" t="s">
        <v>18</v>
      </c>
      <c r="B22" s="29" cm="1">
        <f t="array" aca="1" ref="B22" ca="1">Ocjene!B22/INDIRECT("Ocjene!" &amp; CHAR(66 + COLUMN(A17) - 1) &amp; $A$34)</f>
        <v>1.0666666666666667</v>
      </c>
      <c r="C22" s="29" cm="1">
        <f t="array" aca="1" ref="C22" ca="1">Ocjene!C22/INDIRECT("Ocjene!" &amp; CHAR(66 + COLUMN(B17) - 1) &amp; $A$34)</f>
        <v>1.1000000000000001</v>
      </c>
      <c r="D22" s="29" cm="1">
        <f t="array" aca="1" ref="D22" ca="1">Ocjene!D22/INDIRECT("Ocjene!" &amp; CHAR(66 + COLUMN(C17) - 1) &amp; $A$34)</f>
        <v>1.3824756606397772</v>
      </c>
      <c r="E22" s="29" cm="1">
        <f t="array" aca="1" ref="E22" ca="1">Ocjene!E22/INDIRECT("Ocjene!" &amp; CHAR(66 + COLUMN(D17) - 1) &amp; $A$34)</f>
        <v>4.8181818181818183</v>
      </c>
      <c r="F22" s="29" cm="1">
        <f t="array" aca="1" ref="F22" ca="1">Ocjene!F22/INDIRECT("Ocjene!" &amp; CHAR(66 + COLUMN(E17) - 1) &amp; $A$34)</f>
        <v>0.72023809523809523</v>
      </c>
      <c r="G22" s="29" cm="1">
        <f t="array" aca="1" ref="G22" ca="1">Ocjene!G22/INDIRECT("Ocjene!" &amp; CHAR(66 + COLUMN(F17) - 1) &amp; $A$34)</f>
        <v>1.5</v>
      </c>
      <c r="H22" s="29" cm="1">
        <f t="array" aca="1" ref="H22" ca="1">Ocjene!H22/INDIRECT("Ocjene!" &amp; CHAR(66 + COLUMN(G17) - 1) &amp; $A$34)</f>
        <v>3.75</v>
      </c>
      <c r="I22" s="29" cm="1">
        <f t="array" aca="1" ref="I22" ca="1">Ocjene!I22/INDIRECT("Ocjene!" &amp; CHAR(66 + COLUMN(H17) - 1) &amp; $A$34)</f>
        <v>0.39047619047619048</v>
      </c>
      <c r="J22" s="29" cm="1">
        <f t="array" aca="1" ref="J22" ca="1">Ocjene!J22/INDIRECT("Ocjene!" &amp; CHAR(66 + COLUMN(I17) - 1) &amp; $A$34)</f>
        <v>1.1666666666666667</v>
      </c>
      <c r="K22" s="29" cm="1">
        <f t="array" aca="1" ref="K22" ca="1">Ocjene!K22/INDIRECT("Ocjene!" &amp; CHAR(66 + COLUMN(J17) - 1) &amp; $A$34)</f>
        <v>0.34615384615384615</v>
      </c>
      <c r="L22" s="29" cm="1">
        <f t="array" aca="1" ref="L22" ca="1">Ocjene!L22/INDIRECT("Ocjene!" &amp; CHAR(66 + COLUMN(K17) - 1) &amp; $A$34)</f>
        <v>0.4</v>
      </c>
      <c r="M22" s="29" cm="1">
        <f t="array" aca="1" ref="M22" ca="1">Ocjene!M22/INDIRECT("Ocjene!" &amp; CHAR(66 + COLUMN(L17) - 1) &amp; $A$34)</f>
        <v>0.25</v>
      </c>
      <c r="N22" s="72">
        <f t="shared" ca="1" si="1"/>
        <v>14.898551251715368</v>
      </c>
      <c r="O22" s="4">
        <f t="shared" ca="1" si="0"/>
        <v>14</v>
      </c>
      <c r="P22" s="108" t="s">
        <v>18</v>
      </c>
    </row>
    <row r="23" spans="1:16" x14ac:dyDescent="0.3">
      <c r="A23" s="10" t="s">
        <v>19</v>
      </c>
      <c r="B23" s="29" cm="1">
        <f t="array" aca="1" ref="B23" ca="1">Ocjene!B23/INDIRECT("Ocjene!" &amp; CHAR(66 + COLUMN(A18) - 1) &amp; $A$34)</f>
        <v>1.0666666666666667</v>
      </c>
      <c r="C23" s="29" cm="1">
        <f t="array" aca="1" ref="C23" ca="1">Ocjene!C23/INDIRECT("Ocjene!" &amp; CHAR(66 + COLUMN(B18) - 1) &amp; $A$34)</f>
        <v>1.5</v>
      </c>
      <c r="D23" s="29" cm="1">
        <f t="array" aca="1" ref="D23" ca="1">Ocjene!D23/INDIRECT("Ocjene!" &amp; CHAR(66 + COLUMN(C18) - 1) &amp; $A$34)</f>
        <v>1.2878998609179415</v>
      </c>
      <c r="E23" s="29" cm="1">
        <f t="array" aca="1" ref="E23" ca="1">Ocjene!E23/INDIRECT("Ocjene!" &amp; CHAR(66 + COLUMN(D18) - 1) &amp; $A$34)</f>
        <v>3.9545454545454546</v>
      </c>
      <c r="F23" s="29" cm="1">
        <f t="array" aca="1" ref="F23" ca="1">Ocjene!F23/INDIRECT("Ocjene!" &amp; CHAR(66 + COLUMN(E18) - 1) &amp; $A$34)</f>
        <v>0.63095238095238104</v>
      </c>
      <c r="G23" s="29" cm="1">
        <f t="array" aca="1" ref="G23" ca="1">Ocjene!G23/INDIRECT("Ocjene!" &amp; CHAR(66 + COLUMN(F18) - 1) &amp; $A$34)</f>
        <v>1.2</v>
      </c>
      <c r="H23" s="29" cm="1">
        <f t="array" aca="1" ref="H23" ca="1">Ocjene!H23/INDIRECT("Ocjene!" &amp; CHAR(66 + COLUMN(G18) - 1) &amp; $A$34)</f>
        <v>4.5</v>
      </c>
      <c r="I23" s="29" cm="1">
        <f t="array" aca="1" ref="I23" ca="1">Ocjene!I23/INDIRECT("Ocjene!" &amp; CHAR(66 + COLUMN(H18) - 1) &amp; $A$34)</f>
        <v>0.15873015873015872</v>
      </c>
      <c r="J23" s="29" cm="1">
        <f t="array" aca="1" ref="J23" ca="1">Ocjene!J23/INDIRECT("Ocjene!" &amp; CHAR(66 + COLUMN(I18) - 1) &amp; $A$34)</f>
        <v>1</v>
      </c>
      <c r="K23" s="29" cm="1">
        <f t="array" aca="1" ref="K23" ca="1">Ocjene!K23/INDIRECT("Ocjene!" &amp; CHAR(66 + COLUMN(J18) - 1) &amp; $A$34)</f>
        <v>7.6923076923076927E-2</v>
      </c>
      <c r="L23" s="29" cm="1">
        <f t="array" aca="1" ref="L23" ca="1">Ocjene!L23/INDIRECT("Ocjene!" &amp; CHAR(66 + COLUMN(K18) - 1) &amp; $A$34)</f>
        <v>0.66666666666666663</v>
      </c>
      <c r="M23" s="29" cm="1">
        <f t="array" aca="1" ref="M23" ca="1">Ocjene!M23/INDIRECT("Ocjene!" &amp; CHAR(66 + COLUMN(L18) - 1) &amp; $A$34)</f>
        <v>0.375</v>
      </c>
      <c r="N23" s="72">
        <f t="shared" ca="1" si="1"/>
        <v>14.180204778222858</v>
      </c>
      <c r="O23" s="4">
        <f t="shared" ca="1" si="0"/>
        <v>17</v>
      </c>
      <c r="P23" s="108" t="s">
        <v>19</v>
      </c>
    </row>
    <row r="24" spans="1:16" x14ac:dyDescent="0.3">
      <c r="A24" s="68" t="s">
        <v>20</v>
      </c>
      <c r="B24" s="69" cm="1">
        <f t="array" aca="1" ref="B24" ca="1">Ocjene!B24/INDIRECT("Ocjene!" &amp; CHAR(66 + COLUMN(A19) - 1) &amp; $A$34)</f>
        <v>1</v>
      </c>
      <c r="C24" s="69" cm="1">
        <f t="array" aca="1" ref="C24" ca="1">Ocjene!C24/INDIRECT("Ocjene!" &amp; CHAR(66 + COLUMN(B19) - 1) &amp; $A$34)</f>
        <v>1</v>
      </c>
      <c r="D24" s="69" cm="1">
        <f t="array" aca="1" ref="D24" ca="1">Ocjene!D24/INDIRECT("Ocjene!" &amp; CHAR(66 + COLUMN(C19) - 1) &amp; $A$34)</f>
        <v>1</v>
      </c>
      <c r="E24" s="69" cm="1">
        <f t="array" aca="1" ref="E24" ca="1">Ocjene!E24/INDIRECT("Ocjene!" &amp; CHAR(66 + COLUMN(D19) - 1) &amp; $A$34)</f>
        <v>1</v>
      </c>
      <c r="F24" s="69" cm="1">
        <f t="array" aca="1" ref="F24" ca="1">Ocjene!F24/INDIRECT("Ocjene!" &amp; CHAR(66 + COLUMN(E19) - 1) &amp; $A$34)</f>
        <v>1</v>
      </c>
      <c r="G24" s="69" cm="1">
        <f t="array" aca="1" ref="G24" ca="1">Ocjene!G24/INDIRECT("Ocjene!" &amp; CHAR(66 + COLUMN(F19) - 1) &amp; $A$34)</f>
        <v>1</v>
      </c>
      <c r="H24" s="69" cm="1">
        <f t="array" aca="1" ref="H24" ca="1">Ocjene!H24/INDIRECT("Ocjene!" &amp; CHAR(66 + COLUMN(G19) - 1) &amp; $A$34)</f>
        <v>1</v>
      </c>
      <c r="I24" s="69" cm="1">
        <f t="array" aca="1" ref="I24" ca="1">Ocjene!I24/INDIRECT("Ocjene!" &amp; CHAR(66 + COLUMN(H19) - 1) &amp; $A$34)</f>
        <v>1</v>
      </c>
      <c r="J24" s="69" cm="1">
        <f t="array" aca="1" ref="J24" ca="1">Ocjene!J24/INDIRECT("Ocjene!" &amp; CHAR(66 + COLUMN(I19) - 1) &amp; $A$34)</f>
        <v>1</v>
      </c>
      <c r="K24" s="69" cm="1">
        <f t="array" aca="1" ref="K24" ca="1">Ocjene!K24/INDIRECT("Ocjene!" &amp; CHAR(66 + COLUMN(J19) - 1) &amp; $A$34)</f>
        <v>1</v>
      </c>
      <c r="L24" s="69" cm="1">
        <f t="array" aca="1" ref="L24" ca="1">Ocjene!L24/INDIRECT("Ocjene!" &amp; CHAR(66 + COLUMN(K19) - 1) &amp; $A$34)</f>
        <v>1</v>
      </c>
      <c r="M24" s="69" cm="1">
        <f t="array" aca="1" ref="M24" ca="1">Ocjene!M24/INDIRECT("Ocjene!" &amp; CHAR(66 + COLUMN(L19) - 1) &amp; $A$34)</f>
        <v>1</v>
      </c>
      <c r="N24" s="73">
        <f t="shared" ca="1" si="1"/>
        <v>6</v>
      </c>
      <c r="O24" s="74">
        <f t="shared" ca="1" si="0"/>
        <v>27</v>
      </c>
      <c r="P24" s="112" t="s">
        <v>20</v>
      </c>
    </row>
    <row r="25" spans="1:16" x14ac:dyDescent="0.3">
      <c r="A25" s="10" t="s">
        <v>21</v>
      </c>
      <c r="B25" s="29" cm="1">
        <f t="array" aca="1" ref="B25" ca="1">Ocjene!B25/INDIRECT("Ocjene!" &amp; CHAR(66 + COLUMN(A20) - 1) &amp; $A$34)</f>
        <v>1.0666666666666667</v>
      </c>
      <c r="C25" s="29" cm="1">
        <f t="array" aca="1" ref="C25" ca="1">Ocjene!C25/INDIRECT("Ocjene!" &amp; CHAR(66 + COLUMN(B20) - 1) &amp; $A$34)</f>
        <v>1.6</v>
      </c>
      <c r="D25" s="29" cm="1">
        <f t="array" aca="1" ref="D25" ca="1">Ocjene!D25/INDIRECT("Ocjene!" &amp; CHAR(66 + COLUMN(C20) - 1) &amp; $A$34)</f>
        <v>1.1905424200278163</v>
      </c>
      <c r="E25" s="29" cm="1">
        <f t="array" aca="1" ref="E25" ca="1">Ocjene!E25/INDIRECT("Ocjene!" &amp; CHAR(66 + COLUMN(D20) - 1) &amp; $A$34)</f>
        <v>4.7272727272727275</v>
      </c>
      <c r="F25" s="29" cm="1">
        <f t="array" aca="1" ref="F25" ca="1">Ocjene!F25/INDIRECT("Ocjene!" &amp; CHAR(66 + COLUMN(E20) - 1) &amp; $A$34)</f>
        <v>0.75595238095238093</v>
      </c>
      <c r="G25" s="29" cm="1">
        <f t="array" aca="1" ref="G25" ca="1">Ocjene!G25/INDIRECT("Ocjene!" &amp; CHAR(66 + COLUMN(F20) - 1) &amp; $A$34)</f>
        <v>1.35</v>
      </c>
      <c r="H25" s="29" cm="1">
        <f t="array" aca="1" ref="H25" ca="1">Ocjene!H25/INDIRECT("Ocjene!" &amp; CHAR(66 + COLUMN(G20) - 1) &amp; $A$34)</f>
        <v>4.75</v>
      </c>
      <c r="I25" s="29" cm="1">
        <f t="array" aca="1" ref="I25" ca="1">Ocjene!I25/INDIRECT("Ocjene!" &amp; CHAR(66 + COLUMN(H20) - 1) &amp; $A$34)</f>
        <v>0.50793650793650802</v>
      </c>
      <c r="J25" s="29" cm="1">
        <f t="array" aca="1" ref="J25" ca="1">Ocjene!J25/INDIRECT("Ocjene!" &amp; CHAR(66 + COLUMN(I20) - 1) &amp; $A$34)</f>
        <v>0.83333333333333337</v>
      </c>
      <c r="K25" s="29" cm="1">
        <f t="array" aca="1" ref="K25" ca="1">Ocjene!K25/INDIRECT("Ocjene!" &amp; CHAR(66 + COLUMN(J20) - 1) &amp; $A$34)</f>
        <v>0.30769230769230771</v>
      </c>
      <c r="L25" s="29" cm="1">
        <f t="array" aca="1" ref="L25" ca="1">Ocjene!L25/INDIRECT("Ocjene!" &amp; CHAR(66 + COLUMN(K20) - 1) &amp; $A$34)</f>
        <v>0.5066666666666666</v>
      </c>
      <c r="M25" s="29" cm="1">
        <f t="array" aca="1" ref="M25" ca="1">Ocjene!M25/INDIRECT("Ocjene!" &amp; CHAR(66 + COLUMN(L20) - 1) &amp; $A$34)</f>
        <v>0.25</v>
      </c>
      <c r="N25" s="72">
        <f t="shared" ca="1" si="1"/>
        <v>15.717345061830457</v>
      </c>
      <c r="O25" s="4">
        <f t="shared" ca="1" si="0"/>
        <v>12</v>
      </c>
      <c r="P25" s="108" t="s">
        <v>21</v>
      </c>
    </row>
    <row r="26" spans="1:16" x14ac:dyDescent="0.3">
      <c r="A26" s="66" t="s">
        <v>22</v>
      </c>
      <c r="B26" s="67" cm="1">
        <f t="array" aca="1" ref="B26" ca="1">Ocjene!B26/INDIRECT("Ocjene!" &amp; CHAR(66 + COLUMN(A21) - 1) &amp; $A$34)</f>
        <v>1.0666666666666667</v>
      </c>
      <c r="C26" s="67" cm="1">
        <f t="array" aca="1" ref="C26" ca="1">Ocjene!C26/INDIRECT("Ocjene!" &amp; CHAR(66 + COLUMN(B21) - 1) &amp; $A$34)</f>
        <v>1.5</v>
      </c>
      <c r="D26" s="67" cm="1">
        <f t="array" aca="1" ref="D26" ca="1">Ocjene!D26/INDIRECT("Ocjene!" &amp; CHAR(66 + COLUMN(C21) - 1) &amp; $A$34)</f>
        <v>1.4255910987482612</v>
      </c>
      <c r="E26" s="67" cm="1">
        <f t="array" aca="1" ref="E26" ca="1">Ocjene!E26/INDIRECT("Ocjene!" &amp; CHAR(66 + COLUMN(D21) - 1) &amp; $A$34)</f>
        <v>10.045454545454545</v>
      </c>
      <c r="F26" s="67" cm="1">
        <f t="array" aca="1" ref="F26" ca="1">Ocjene!F26/INDIRECT("Ocjene!" &amp; CHAR(66 + COLUMN(E21) - 1) &amp; $A$34)</f>
        <v>0.69047619047619047</v>
      </c>
      <c r="G26" s="67" cm="1">
        <f t="array" aca="1" ref="G26" ca="1">Ocjene!G26/INDIRECT("Ocjene!" &amp; CHAR(66 + COLUMN(F21) - 1) &amp; $A$34)</f>
        <v>2.5</v>
      </c>
      <c r="H26" s="67" cm="1">
        <f t="array" aca="1" ref="H26" ca="1">Ocjene!H26/INDIRECT("Ocjene!" &amp; CHAR(66 + COLUMN(G21) - 1) &amp; $A$34)</f>
        <v>4</v>
      </c>
      <c r="I26" s="67" cm="1">
        <f t="array" aca="1" ref="I26" ca="1">Ocjene!I26/INDIRECT("Ocjene!" &amp; CHAR(66 + COLUMN(H21) - 1) &amp; $A$34)</f>
        <v>1.0952380952380951</v>
      </c>
      <c r="J26" s="67" cm="1">
        <f t="array" aca="1" ref="J26" ca="1">Ocjene!J26/INDIRECT("Ocjene!" &amp; CHAR(66 + COLUMN(I21) - 1) &amp; $A$34)</f>
        <v>0.83333333333333337</v>
      </c>
      <c r="K26" s="67" cm="1">
        <f t="array" aca="1" ref="K26" ca="1">Ocjene!K26/INDIRECT("Ocjene!" &amp; CHAR(66 + COLUMN(J21) - 1) &amp; $A$34)</f>
        <v>0.23076923076923078</v>
      </c>
      <c r="L26" s="67" cm="1">
        <f t="array" aca="1" ref="L26" ca="1">Ocjene!L26/INDIRECT("Ocjene!" &amp; CHAR(66 + COLUMN(K21) - 1) &amp; $A$34)</f>
        <v>0.70666666666666667</v>
      </c>
      <c r="M26" s="67" cm="1">
        <f t="array" aca="1" ref="M26" ca="1">Ocjene!M26/INDIRECT("Ocjene!" &amp; CHAR(66 + COLUMN(L21) - 1) &amp; $A$34)</f>
        <v>0.25</v>
      </c>
      <c r="N26" s="75">
        <f t="shared" ca="1" si="1"/>
        <v>21.969324032481193</v>
      </c>
      <c r="O26" s="76">
        <f t="shared" ca="1" si="0"/>
        <v>1</v>
      </c>
      <c r="P26" s="107" t="s">
        <v>22</v>
      </c>
    </row>
    <row r="27" spans="1:16" x14ac:dyDescent="0.3">
      <c r="A27" s="10" t="s">
        <v>23</v>
      </c>
      <c r="B27" s="29" cm="1">
        <f t="array" aca="1" ref="B27" ca="1">Ocjene!B27/INDIRECT("Ocjene!" &amp; CHAR(66 + COLUMN(A22) - 1) &amp; $A$34)</f>
        <v>1</v>
      </c>
      <c r="C27" s="29" cm="1">
        <f t="array" aca="1" ref="C27" ca="1">Ocjene!C27/INDIRECT("Ocjene!" &amp; CHAR(66 + COLUMN(B22) - 1) &amp; $A$34)</f>
        <v>1.2</v>
      </c>
      <c r="D27" s="29" cm="1">
        <f t="array" aca="1" ref="D27" ca="1">Ocjene!D27/INDIRECT("Ocjene!" &amp; CHAR(66 + COLUMN(C22) - 1) &amp; $A$34)</f>
        <v>1.4394993045897078</v>
      </c>
      <c r="E27" s="29" cm="1">
        <f t="array" aca="1" ref="E27" ca="1">Ocjene!E27/INDIRECT("Ocjene!" &amp; CHAR(66 + COLUMN(D22) - 1) &amp; $A$34)</f>
        <v>3.7727272727272729</v>
      </c>
      <c r="F27" s="29" cm="1">
        <f t="array" aca="1" ref="F27" ca="1">Ocjene!F27/INDIRECT("Ocjene!" &amp; CHAR(66 + COLUMN(E22) - 1) &amp; $A$34)</f>
        <v>0.8214285714285714</v>
      </c>
      <c r="G27" s="29" cm="1">
        <f t="array" aca="1" ref="G27" ca="1">Ocjene!G27/INDIRECT("Ocjene!" &amp; CHAR(66 + COLUMN(F22) - 1) &amp; $A$34)</f>
        <v>1.35</v>
      </c>
      <c r="H27" s="29" cm="1">
        <f t="array" aca="1" ref="H27" ca="1">Ocjene!H27/INDIRECT("Ocjene!" &amp; CHAR(66 + COLUMN(G22) - 1) &amp; $A$34)</f>
        <v>2</v>
      </c>
      <c r="I27" s="29" cm="1">
        <f t="array" aca="1" ref="I27" ca="1">Ocjene!I27/INDIRECT("Ocjene!" &amp; CHAR(66 + COLUMN(H22) - 1) &amp; $A$34)</f>
        <v>1.034920634920635</v>
      </c>
      <c r="J27" s="29" cm="1">
        <f t="array" aca="1" ref="J27" ca="1">Ocjene!J27/INDIRECT("Ocjene!" &amp; CHAR(66 + COLUMN(I22) - 1) &amp; $A$34)</f>
        <v>1.3333333333333333</v>
      </c>
      <c r="K27" s="29" cm="1">
        <f t="array" aca="1" ref="K27" ca="1">Ocjene!K27/INDIRECT("Ocjene!" &amp; CHAR(66 + COLUMN(J22) - 1) &amp; $A$34)</f>
        <v>0.80769230769230771</v>
      </c>
      <c r="L27" s="29" cm="1">
        <f t="array" aca="1" ref="L27" ca="1">Ocjene!L27/INDIRECT("Ocjene!" &amp; CHAR(66 + COLUMN(K22) - 1) &amp; $A$34)</f>
        <v>0.33333333333333331</v>
      </c>
      <c r="M27" s="29" cm="1">
        <f t="array" aca="1" ref="M27" ca="1">Ocjene!M27/INDIRECT("Ocjene!" &amp; CHAR(66 + COLUMN(L22) - 1) &amp; $A$34)</f>
        <v>0.25</v>
      </c>
      <c r="N27" s="72">
        <f t="shared" ca="1" si="1"/>
        <v>12.560883475973879</v>
      </c>
      <c r="O27" s="4">
        <f t="shared" ca="1" si="0"/>
        <v>18</v>
      </c>
      <c r="P27" s="108" t="s">
        <v>23</v>
      </c>
    </row>
    <row r="28" spans="1:16" x14ac:dyDescent="0.3">
      <c r="A28" s="10" t="s">
        <v>24</v>
      </c>
      <c r="B28" s="29" cm="1">
        <f t="array" aca="1" ref="B28" ca="1">Ocjene!B28/INDIRECT("Ocjene!" &amp; CHAR(66 + COLUMN(A23) - 1) &amp; $A$34)</f>
        <v>1</v>
      </c>
      <c r="C28" s="29" cm="1">
        <f t="array" aca="1" ref="C28" ca="1">Ocjene!C28/INDIRECT("Ocjene!" &amp; CHAR(66 + COLUMN(B23) - 1) &amp; $A$34)</f>
        <v>0.9</v>
      </c>
      <c r="D28" s="29" cm="1">
        <f t="array" aca="1" ref="D28" ca="1">Ocjene!D28/INDIRECT("Ocjene!" &amp; CHAR(66 + COLUMN(C23) - 1) &amp; $A$34)</f>
        <v>0.89707927677329613</v>
      </c>
      <c r="E28" s="29" cm="1">
        <f t="array" aca="1" ref="E28" ca="1">Ocjene!E28/INDIRECT("Ocjene!" &amp; CHAR(66 + COLUMN(D23) - 1) &amp; $A$34)</f>
        <v>1.1818181818181819</v>
      </c>
      <c r="F28" s="29" cm="1">
        <f t="array" aca="1" ref="F28" ca="1">Ocjene!F28/INDIRECT("Ocjene!" &amp; CHAR(66 + COLUMN(E23) - 1) &amp; $A$34)</f>
        <v>0.89285714285714279</v>
      </c>
      <c r="G28" s="29" cm="1">
        <f t="array" aca="1" ref="G28" ca="1">Ocjene!G28/INDIRECT("Ocjene!" &amp; CHAR(66 + COLUMN(F23) - 1) &amp; $A$34)</f>
        <v>1</v>
      </c>
      <c r="H28" s="29" cm="1">
        <f t="array" aca="1" ref="H28" ca="1">Ocjene!H28/INDIRECT("Ocjene!" &amp; CHAR(66 + COLUMN(G23) - 1) &amp; $A$34)</f>
        <v>1</v>
      </c>
      <c r="I28" s="29" cm="1">
        <f t="array" aca="1" ref="I28" ca="1">Ocjene!I28/INDIRECT("Ocjene!" &amp; CHAR(66 + COLUMN(H23) - 1) &amp; $A$34)</f>
        <v>1.4285714285714286</v>
      </c>
      <c r="J28" s="29" cm="1">
        <f t="array" aca="1" ref="J28" ca="1">Ocjene!J28/INDIRECT("Ocjene!" &amp; CHAR(66 + COLUMN(I23) - 1) &amp; $A$34)</f>
        <v>1.3333333333333333</v>
      </c>
      <c r="K28" s="29" cm="1">
        <f t="array" aca="1" ref="K28" ca="1">Ocjene!K28/INDIRECT("Ocjene!" &amp; CHAR(66 + COLUMN(J23) - 1) &amp; $A$34)</f>
        <v>1.3076923076923077</v>
      </c>
      <c r="L28" s="29" cm="1">
        <f t="array" aca="1" ref="L28" ca="1">Ocjene!L28/INDIRECT("Ocjene!" &amp; CHAR(66 + COLUMN(K23) - 1) &amp; $A$34)</f>
        <v>0.66666666666666663</v>
      </c>
      <c r="M28" s="29" cm="1">
        <f t="array" aca="1" ref="M28" ca="1">Ocjene!M28/INDIRECT("Ocjene!" &amp; CHAR(66 + COLUMN(L23) - 1) &amp; $A$34)</f>
        <v>0.625</v>
      </c>
      <c r="N28" s="72">
        <f t="shared" ca="1" si="1"/>
        <v>7.0343003889944082</v>
      </c>
      <c r="O28" s="4">
        <f t="shared" ca="1" si="0"/>
        <v>26</v>
      </c>
      <c r="P28" s="108" t="s">
        <v>24</v>
      </c>
    </row>
    <row r="29" spans="1:16" x14ac:dyDescent="0.3">
      <c r="A29" s="10" t="s">
        <v>25</v>
      </c>
      <c r="B29" s="29" cm="1">
        <f t="array" aca="1" ref="B29" ca="1">Ocjene!B29/INDIRECT("Ocjene!" &amp; CHAR(66 + COLUMN(A24) - 1) &amp; $A$34)</f>
        <v>1.0666666666666667</v>
      </c>
      <c r="C29" s="29" cm="1">
        <f t="array" aca="1" ref="C29" ca="1">Ocjene!C29/INDIRECT("Ocjene!" &amp; CHAR(66 + COLUMN(B24) - 1) &amp; $A$34)</f>
        <v>1.4</v>
      </c>
      <c r="D29" s="29" cm="1">
        <f t="array" aca="1" ref="D29" ca="1">Ocjene!D29/INDIRECT("Ocjene!" &amp; CHAR(66 + COLUMN(C24) - 1) &amp; $A$34)</f>
        <v>1.3922114047287899</v>
      </c>
      <c r="E29" s="29" cm="1">
        <f t="array" aca="1" ref="E29" ca="1">Ocjene!E29/INDIRECT("Ocjene!" &amp; CHAR(66 + COLUMN(D24) - 1) &amp; $A$34)</f>
        <v>8.4090909090909083</v>
      </c>
      <c r="F29" s="29" cm="1">
        <f t="array" aca="1" ref="F29" ca="1">Ocjene!F29/INDIRECT("Ocjene!" &amp; CHAR(66 + COLUMN(E24) - 1) &amp; $A$34)</f>
        <v>0.70833333333333326</v>
      </c>
      <c r="G29" s="29" cm="1">
        <f t="array" aca="1" ref="G29" ca="1">Ocjene!G29/INDIRECT("Ocjene!" &amp; CHAR(66 + COLUMN(F24) - 1) &amp; $A$34)</f>
        <v>2.5</v>
      </c>
      <c r="H29" s="29" cm="1">
        <f t="array" aca="1" ref="H29" ca="1">Ocjene!H29/INDIRECT("Ocjene!" &amp; CHAR(66 + COLUMN(G24) - 1) &amp; $A$34)</f>
        <v>3.5</v>
      </c>
      <c r="I29" s="29" cm="1">
        <f t="array" aca="1" ref="I29" ca="1">Ocjene!I29/INDIRECT("Ocjene!" &amp; CHAR(66 + COLUMN(H24) - 1) &amp; $A$34)</f>
        <v>0.81428571428571417</v>
      </c>
      <c r="J29" s="29" cm="1">
        <f t="array" aca="1" ref="J29" ca="1">Ocjene!J29/INDIRECT("Ocjene!" &amp; CHAR(66 + COLUMN(I24) - 1) &amp; $A$34)</f>
        <v>0.83333333333333337</v>
      </c>
      <c r="K29" s="29" cm="1">
        <f t="array" aca="1" ref="K29" ca="1">Ocjene!K29/INDIRECT("Ocjene!" &amp; CHAR(66 + COLUMN(J24) - 1) &amp; $A$34)</f>
        <v>0.23076923076923078</v>
      </c>
      <c r="L29" s="29" cm="1">
        <f t="array" aca="1" ref="L29" ca="1">Ocjene!L29/INDIRECT("Ocjene!" &amp; CHAR(66 + COLUMN(K24) - 1) &amp; $A$34)</f>
        <v>0.8</v>
      </c>
      <c r="M29" s="29" cm="1">
        <f t="array" aca="1" ref="M29" ca="1">Ocjene!M29/INDIRECT("Ocjene!" &amp; CHAR(66 + COLUMN(L24) - 1) &amp; $A$34)</f>
        <v>0.25</v>
      </c>
      <c r="N29" s="72">
        <f t="shared" ca="1" si="1"/>
        <v>19.343152130669516</v>
      </c>
      <c r="O29" s="4">
        <f t="shared" ca="1" si="0"/>
        <v>5</v>
      </c>
      <c r="P29" s="108" t="s">
        <v>25</v>
      </c>
    </row>
    <row r="30" spans="1:16" x14ac:dyDescent="0.3">
      <c r="A30" s="10" t="s">
        <v>26</v>
      </c>
      <c r="B30" s="29" cm="1">
        <f t="array" aca="1" ref="B30" ca="1">Ocjene!B30/INDIRECT("Ocjene!" &amp; CHAR(66 + COLUMN(A25) - 1) &amp; $A$34)</f>
        <v>1</v>
      </c>
      <c r="C30" s="29" cm="1">
        <f t="array" aca="1" ref="C30" ca="1">Ocjene!C30/INDIRECT("Ocjene!" &amp; CHAR(66 + COLUMN(B25) - 1) &amp; $A$34)</f>
        <v>1.1000000000000001</v>
      </c>
      <c r="D30" s="29" cm="1">
        <f t="array" aca="1" ref="D30" ca="1">Ocjene!D30/INDIRECT("Ocjene!" &amp; CHAR(66 + COLUMN(C25) - 1) &amp; $A$34)</f>
        <v>0.84144645340751023</v>
      </c>
      <c r="E30" s="29" cm="1">
        <f t="array" aca="1" ref="E30" ca="1">Ocjene!E30/INDIRECT("Ocjene!" &amp; CHAR(66 + COLUMN(D25) - 1) &amp; $A$34)</f>
        <v>4.5454545454545459</v>
      </c>
      <c r="F30" s="29" cm="1">
        <f t="array" aca="1" ref="F30" ca="1">Ocjene!F30/INDIRECT("Ocjene!" &amp; CHAR(66 + COLUMN(E25) - 1) &amp; $A$34)</f>
        <v>0.43154761904761901</v>
      </c>
      <c r="G30" s="29" cm="1">
        <f t="array" aca="1" ref="G30" ca="1">Ocjene!G30/INDIRECT("Ocjene!" &amp; CHAR(66 + COLUMN(F25) - 1) &amp; $A$34)</f>
        <v>2.5</v>
      </c>
      <c r="H30" s="29" cm="1">
        <f t="array" aca="1" ref="H30" ca="1">Ocjene!H30/INDIRECT("Ocjene!" &amp; CHAR(66 + COLUMN(G25) - 1) &amp; $A$34)</f>
        <v>3</v>
      </c>
      <c r="I30" s="29" cm="1">
        <f t="array" aca="1" ref="I30" ca="1">Ocjene!I30/INDIRECT("Ocjene!" &amp; CHAR(66 + COLUMN(H25) - 1) &amp; $A$34)</f>
        <v>0.30158730158730157</v>
      </c>
      <c r="J30" s="29" cm="1">
        <f t="array" aca="1" ref="J30" ca="1">Ocjene!J30/INDIRECT("Ocjene!" &amp; CHAR(66 + COLUMN(I25) - 1) &amp; $A$34)</f>
        <v>0.75</v>
      </c>
      <c r="K30" s="29" cm="1">
        <f t="array" aca="1" ref="K30" ca="1">Ocjene!K30/INDIRECT("Ocjene!" &amp; CHAR(66 + COLUMN(J25) - 1) &amp; $A$34)</f>
        <v>0.69230769230769229</v>
      </c>
      <c r="L30" s="29" cm="1">
        <f t="array" aca="1" ref="L30" ca="1">Ocjene!L30/INDIRECT("Ocjene!" &amp; CHAR(66 + COLUMN(K25) - 1) &amp; $A$34)</f>
        <v>1</v>
      </c>
      <c r="M30" s="29" cm="1">
        <f t="array" aca="1" ref="M30" ca="1">Ocjene!M30/INDIRECT("Ocjene!" &amp; CHAR(66 + COLUMN(L25) - 1) &amp; $A$34)</f>
        <v>0.27500000000000002</v>
      </c>
      <c r="N30" s="72">
        <f t="shared" ca="1" si="1"/>
        <v>12.502728227189285</v>
      </c>
      <c r="O30" s="4">
        <f t="shared" ca="1" si="0"/>
        <v>19</v>
      </c>
      <c r="P30" s="108" t="s">
        <v>26</v>
      </c>
    </row>
    <row r="31" spans="1:16" x14ac:dyDescent="0.3">
      <c r="A31" s="10" t="s">
        <v>27</v>
      </c>
      <c r="B31" s="29" cm="1">
        <f t="array" aca="1" ref="B31" ca="1">Ocjene!B31/INDIRECT("Ocjene!" &amp; CHAR(66 + COLUMN(A26) - 1) &amp; $A$34)</f>
        <v>1</v>
      </c>
      <c r="C31" s="29" cm="1">
        <f t="array" aca="1" ref="C31" ca="1">Ocjene!C31/INDIRECT("Ocjene!" &amp; CHAR(66 + COLUMN(B26) - 1) &amp; $A$34)</f>
        <v>1.5</v>
      </c>
      <c r="D31" s="29" cm="1">
        <f t="array" aca="1" ref="D31" ca="1">Ocjene!D31/INDIRECT("Ocjene!" &amp; CHAR(66 + COLUMN(C26) - 1) &amp; $A$34)</f>
        <v>1.4353268428372741</v>
      </c>
      <c r="E31" s="29" cm="1">
        <f t="array" aca="1" ref="E31" ca="1">Ocjene!E31/INDIRECT("Ocjene!" &amp; CHAR(66 + COLUMN(D26) - 1) &amp; $A$34)</f>
        <v>7.4090909090909092</v>
      </c>
      <c r="F31" s="29" cm="1">
        <f t="array" aca="1" ref="F31" ca="1">Ocjene!F31/INDIRECT("Ocjene!" &amp; CHAR(66 + COLUMN(E26) - 1) &amp; $A$34)</f>
        <v>0.8571428571428571</v>
      </c>
      <c r="G31" s="29" cm="1">
        <f t="array" aca="1" ref="G31" ca="1">Ocjene!G31/INDIRECT("Ocjene!" &amp; CHAR(66 + COLUMN(F26) - 1) &amp; $A$34)</f>
        <v>1.2</v>
      </c>
      <c r="H31" s="29" cm="1">
        <f t="array" aca="1" ref="H31" ca="1">Ocjene!H31/INDIRECT("Ocjene!" &amp; CHAR(66 + COLUMN(G26) - 1) &amp; $A$34)</f>
        <v>1.75</v>
      </c>
      <c r="I31" s="29" cm="1">
        <f t="array" aca="1" ref="I31" ca="1">Ocjene!I31/INDIRECT("Ocjene!" &amp; CHAR(66 + COLUMN(H26) - 1) &amp; $A$34)</f>
        <v>1.1492063492063493</v>
      </c>
      <c r="J31" s="29" cm="1">
        <f t="array" aca="1" ref="J31" ca="1">Ocjene!J31/INDIRECT("Ocjene!" &amp; CHAR(66 + COLUMN(I26) - 1) &amp; $A$34)</f>
        <v>1.3333333333333333</v>
      </c>
      <c r="K31" s="29" cm="1">
        <f t="array" aca="1" ref="K31" ca="1">Ocjene!K31/INDIRECT("Ocjene!" &amp; CHAR(66 + COLUMN(J26) - 1) &amp; $A$34)</f>
        <v>0.80769230769230771</v>
      </c>
      <c r="L31" s="29" cm="1">
        <f t="array" aca="1" ref="L31" ca="1">Ocjene!L31/INDIRECT("Ocjene!" &amp; CHAR(66 + COLUMN(K26) - 1) &amp; $A$34)</f>
        <v>0.66666666666666663</v>
      </c>
      <c r="M31" s="29" cm="1">
        <f t="array" aca="1" ref="M31" ca="1">Ocjene!M31/INDIRECT("Ocjene!" &amp; CHAR(66 + COLUMN(L26) - 1) &amp; $A$34)</f>
        <v>0.25</v>
      </c>
      <c r="N31" s="72">
        <f t="shared" ca="1" si="1"/>
        <v>15.909741317251747</v>
      </c>
      <c r="O31" s="4">
        <f t="shared" ca="1" si="0"/>
        <v>11</v>
      </c>
      <c r="P31" s="108" t="s">
        <v>27</v>
      </c>
    </row>
    <row r="32" spans="1:16" ht="17.25" thickBot="1" x14ac:dyDescent="0.35">
      <c r="A32" s="10" t="s">
        <v>28</v>
      </c>
      <c r="B32" s="32" cm="1">
        <f t="array" aca="1" ref="B32" ca="1">Ocjene!B32/INDIRECT("Ocjene!" &amp; CHAR(66 + COLUMN(A27) - 1) &amp; $A$34)</f>
        <v>1</v>
      </c>
      <c r="C32" s="30" cm="1">
        <f t="array" aca="1" ref="C32" ca="1">Ocjene!C32/INDIRECT("Ocjene!" &amp; CHAR(66 + COLUMN(B27) - 1) &amp; $A$34)</f>
        <v>1.6</v>
      </c>
      <c r="D32" s="30" cm="1">
        <f t="array" aca="1" ref="D32" ca="1">Ocjene!D32/INDIRECT("Ocjene!" &amp; CHAR(66 + COLUMN(C27) - 1) &amp; $A$34)</f>
        <v>1.2948539638386649</v>
      </c>
      <c r="E32" s="30" cm="1">
        <f t="array" aca="1" ref="E32" ca="1">Ocjene!E32/INDIRECT("Ocjene!" &amp; CHAR(66 + COLUMN(D27) - 1) &amp; $A$34)</f>
        <v>3.5</v>
      </c>
      <c r="F32" s="30" cm="1">
        <f t="array" aca="1" ref="F32" ca="1">Ocjene!F32/INDIRECT("Ocjene!" &amp; CHAR(66 + COLUMN(E27) - 1) &amp; $A$34)</f>
        <v>0.84523809523809523</v>
      </c>
      <c r="G32" s="30" cm="1">
        <f t="array" aca="1" ref="G32" ca="1">Ocjene!G32/INDIRECT("Ocjene!" &amp; CHAR(66 + COLUMN(F27) - 1) &amp; $A$34)</f>
        <v>1.1000000000000001</v>
      </c>
      <c r="H32" s="30" cm="1">
        <f t="array" aca="1" ref="H32" ca="1">Ocjene!H32/INDIRECT("Ocjene!" &amp; CHAR(66 + COLUMN(G27) - 1) &amp; $A$34)</f>
        <v>2.25</v>
      </c>
      <c r="I32" s="30" cm="1">
        <f t="array" aca="1" ref="I32" ca="1">Ocjene!I32/INDIRECT("Ocjene!" &amp; CHAR(66 + COLUMN(H27) - 1) &amp; $A$34)</f>
        <v>0.50158730158730158</v>
      </c>
      <c r="J32" s="30" cm="1">
        <f t="array" aca="1" ref="J32" ca="1">Ocjene!J32/INDIRECT("Ocjene!" &amp; CHAR(66 + COLUMN(I27) - 1) &amp; $A$34)</f>
        <v>0.83333333333333337</v>
      </c>
      <c r="K32" s="30" cm="1">
        <f t="array" aca="1" ref="K32" ca="1">Ocjene!K32/INDIRECT("Ocjene!" &amp; CHAR(66 + COLUMN(J27) - 1) &amp; $A$34)</f>
        <v>0.69230769230769229</v>
      </c>
      <c r="L32" s="30" cm="1">
        <f t="array" aca="1" ref="L32" ca="1">Ocjene!L32/INDIRECT("Ocjene!" &amp; CHAR(66 + COLUMN(K27) - 1) &amp; $A$34)</f>
        <v>0.62666666666666671</v>
      </c>
      <c r="M32" s="31" cm="1">
        <f t="array" aca="1" ref="M32" ca="1">Ocjene!M32/INDIRECT("Ocjene!" &amp; CHAR(66 + COLUMN(L27) - 1) &amp; $A$34)</f>
        <v>0.25</v>
      </c>
      <c r="N32" s="72">
        <f t="shared" ca="1" si="1"/>
        <v>11.356038335023037</v>
      </c>
      <c r="O32" s="5">
        <f t="shared" ca="1" si="0"/>
        <v>23</v>
      </c>
      <c r="P32" s="111" t="s">
        <v>28</v>
      </c>
    </row>
    <row r="33" spans="1:15" x14ac:dyDescent="0.3">
      <c r="A33" s="48" t="s">
        <v>88</v>
      </c>
      <c r="M33" s="82"/>
      <c r="N33" s="80"/>
      <c r="O33" s="81"/>
    </row>
    <row r="34" spans="1:15" ht="17.25" thickBot="1" x14ac:dyDescent="0.35">
      <c r="A34" s="49">
        <v>24</v>
      </c>
      <c r="M34" s="79"/>
      <c r="N34" s="79"/>
    </row>
  </sheetData>
  <mergeCells count="4">
    <mergeCell ref="A1:B1"/>
    <mergeCell ref="B3:M3"/>
    <mergeCell ref="N4:P4"/>
    <mergeCell ref="N5:P5"/>
  </mergeCells>
  <pageMargins left="0.51181102362204722" right="0.51181102362204722" top="0.74803149606299213" bottom="0.74803149606299213" header="0.31496062992125984" footer="0.31496062992125984"/>
  <pageSetup paperSize="8" fitToWidth="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EA91-4025-49D9-B929-DC53D854CF44}">
  <sheetPr>
    <pageSetUpPr fitToPage="1"/>
  </sheetPr>
  <dimension ref="A1:G32"/>
  <sheetViews>
    <sheetView zoomScaleNormal="100" workbookViewId="0">
      <selection activeCell="C23" sqref="C23"/>
    </sheetView>
  </sheetViews>
  <sheetFormatPr defaultRowHeight="16.5" x14ac:dyDescent="0.3"/>
  <cols>
    <col min="1" max="1" width="25.7109375" style="1" customWidth="1"/>
    <col min="2" max="3" width="30.7109375" style="1" customWidth="1"/>
    <col min="4" max="4" width="20.7109375" style="1" customWidth="1"/>
    <col min="5" max="5" width="25.7109375" style="1" customWidth="1"/>
    <col min="6" max="7" width="30.7109375" style="1" customWidth="1"/>
    <col min="8" max="29" width="20.7109375" style="1" customWidth="1"/>
    <col min="30" max="16384" width="9.140625" style="1"/>
  </cols>
  <sheetData>
    <row r="1" spans="1:7" ht="16.5" customHeight="1" x14ac:dyDescent="0.3">
      <c r="A1" s="127" t="s">
        <v>118</v>
      </c>
      <c r="B1" s="127"/>
    </row>
    <row r="2" spans="1:7" ht="17.25" thickBot="1" x14ac:dyDescent="0.35">
      <c r="A2" s="2"/>
      <c r="B2" s="2"/>
    </row>
    <row r="3" spans="1:7" ht="18" thickTop="1" thickBot="1" x14ac:dyDescent="0.35">
      <c r="A3" s="35" t="s">
        <v>119</v>
      </c>
      <c r="B3" s="8" t="s">
        <v>40</v>
      </c>
      <c r="C3" s="43" t="s">
        <v>89</v>
      </c>
      <c r="E3" s="35" t="s">
        <v>119</v>
      </c>
      <c r="F3" s="8" t="s">
        <v>40</v>
      </c>
      <c r="G3" s="43" t="s">
        <v>89</v>
      </c>
    </row>
    <row r="4" spans="1:7" ht="17.25" thickTop="1" x14ac:dyDescent="0.3">
      <c r="A4" s="129" t="s">
        <v>149</v>
      </c>
      <c r="B4" s="130"/>
      <c r="C4" s="131"/>
      <c r="E4" s="129" t="s">
        <v>148</v>
      </c>
      <c r="F4" s="130"/>
      <c r="G4" s="131"/>
    </row>
    <row r="5" spans="1:7" ht="17.25" thickBot="1" x14ac:dyDescent="0.35">
      <c r="A5" s="132" t="s">
        <v>87</v>
      </c>
      <c r="B5" s="133"/>
      <c r="C5" s="134"/>
      <c r="E5" s="132" t="s">
        <v>87</v>
      </c>
      <c r="F5" s="133"/>
      <c r="G5" s="134"/>
    </row>
    <row r="6" spans="1:7" x14ac:dyDescent="0.3">
      <c r="A6" s="10" t="s">
        <v>2</v>
      </c>
      <c r="B6" s="44">
        <f ca="1">PRODUCT('Normalizirane vrijednosti'!B6:J6) / PRODUCT('Normalizirane vrijednosti'!K6:M6)</f>
        <v>888.07630961604229</v>
      </c>
      <c r="C6" s="4">
        <f ca="1">RANK(B6,B$6:B$32)</f>
        <v>4</v>
      </c>
      <c r="E6" s="10" t="s">
        <v>2</v>
      </c>
      <c r="F6" s="44">
        <f ca="1">PRODUCT('Normalizirane vrijednosti'!B6:J6) / SQRT(PRODUCT('Normalizirane vrijednosti'!K6:M6))</f>
        <v>298.63264178338875</v>
      </c>
      <c r="G6" s="4">
        <f ca="1">RANK(F6,F$6:F$32)</f>
        <v>4</v>
      </c>
    </row>
    <row r="7" spans="1:7" x14ac:dyDescent="0.3">
      <c r="A7" s="10" t="s">
        <v>3</v>
      </c>
      <c r="B7" s="44">
        <f ca="1">PRODUCT('Normalizirane vrijednosti'!B7:J7) / PRODUCT('Normalizirane vrijednosti'!K7:M7)</f>
        <v>625.7326483030181</v>
      </c>
      <c r="C7" s="4">
        <f t="shared" ref="C7:C32" ca="1" si="0">RANK(B7,B$6:B$32)</f>
        <v>7</v>
      </c>
      <c r="E7" s="10" t="s">
        <v>3</v>
      </c>
      <c r="F7" s="44">
        <f ca="1">PRODUCT('Normalizirane vrijednosti'!B7:J7) / SQRT(PRODUCT('Normalizirane vrijednosti'!K7:M7))</f>
        <v>150.29612062249527</v>
      </c>
      <c r="G7" s="4">
        <f t="shared" ref="G7:G32" ca="1" si="1">RANK(F7,F$6:F$32)</f>
        <v>7</v>
      </c>
    </row>
    <row r="8" spans="1:7" x14ac:dyDescent="0.3">
      <c r="A8" s="10" t="s">
        <v>4</v>
      </c>
      <c r="B8" s="44">
        <f ca="1">PRODUCT('Normalizirane vrijednosti'!B8:J8) / PRODUCT('Normalizirane vrijednosti'!K8:M8)</f>
        <v>673.03339349901034</v>
      </c>
      <c r="C8" s="4">
        <f t="shared" ca="1" si="0"/>
        <v>6</v>
      </c>
      <c r="E8" s="10" t="s">
        <v>4</v>
      </c>
      <c r="F8" s="44">
        <f ca="1">PRODUCT('Normalizirane vrijednosti'!B8:J8) / SQRT(PRODUCT('Normalizirane vrijednosti'!K8:M8))</f>
        <v>191.27560586816432</v>
      </c>
      <c r="G8" s="4">
        <f t="shared" ca="1" si="1"/>
        <v>5</v>
      </c>
    </row>
    <row r="9" spans="1:7" x14ac:dyDescent="0.3">
      <c r="A9" s="10" t="s">
        <v>5</v>
      </c>
      <c r="B9" s="44">
        <f ca="1">PRODUCT('Normalizirane vrijednosti'!B9:J9) / PRODUCT('Normalizirane vrijednosti'!K9:M9)</f>
        <v>9.3580555672628023</v>
      </c>
      <c r="C9" s="4">
        <f t="shared" ca="1" si="0"/>
        <v>25</v>
      </c>
      <c r="E9" s="10" t="s">
        <v>5</v>
      </c>
      <c r="F9" s="44">
        <f ca="1">PRODUCT('Normalizirane vrijednosti'!B9:J9) / SQRT(PRODUCT('Normalizirane vrijednosti'!K9:M9))</f>
        <v>9.1763284512997352</v>
      </c>
      <c r="G9" s="4">
        <f t="shared" ca="1" si="1"/>
        <v>24</v>
      </c>
    </row>
    <row r="10" spans="1:7" x14ac:dyDescent="0.3">
      <c r="A10" s="10" t="s">
        <v>6</v>
      </c>
      <c r="B10" s="44">
        <f ca="1">PRODUCT('Normalizirane vrijednosti'!B10:J10) / PRODUCT('Normalizirane vrijednosti'!K10:M10)</f>
        <v>69.371990794842361</v>
      </c>
      <c r="C10" s="4">
        <f t="shared" ca="1" si="0"/>
        <v>19</v>
      </c>
      <c r="E10" s="10" t="s">
        <v>6</v>
      </c>
      <c r="F10" s="44">
        <f ca="1">PRODUCT('Normalizirane vrijednosti'!B10:J10) / SQRT(PRODUCT('Normalizirane vrijednosti'!K10:M10))</f>
        <v>36.378978880404489</v>
      </c>
      <c r="G10" s="4">
        <f t="shared" ca="1" si="1"/>
        <v>17</v>
      </c>
    </row>
    <row r="11" spans="1:7" x14ac:dyDescent="0.3">
      <c r="A11" s="10" t="s">
        <v>7</v>
      </c>
      <c r="B11" s="44">
        <f ca="1">PRODUCT('Normalizirane vrijednosti'!B11:J11) / PRODUCT('Normalizirane vrijednosti'!K11:M11)</f>
        <v>608.14614310342529</v>
      </c>
      <c r="C11" s="4">
        <f t="shared" ca="1" si="0"/>
        <v>8</v>
      </c>
      <c r="E11" s="10" t="s">
        <v>7</v>
      </c>
      <c r="F11" s="44">
        <f ca="1">PRODUCT('Normalizirane vrijednosti'!B11:J11) / SQRT(PRODUCT('Normalizirane vrijednosti'!K11:M11))</f>
        <v>172.83469602265149</v>
      </c>
      <c r="G11" s="4">
        <f t="shared" ca="1" si="1"/>
        <v>6</v>
      </c>
    </row>
    <row r="12" spans="1:7" x14ac:dyDescent="0.3">
      <c r="A12" s="10" t="s">
        <v>8</v>
      </c>
      <c r="B12" s="44">
        <f ca="1">PRODUCT('Normalizirane vrijednosti'!B12:J12) / PRODUCT('Normalizirane vrijednosti'!K12:M12)</f>
        <v>65.700268379952789</v>
      </c>
      <c r="C12" s="4">
        <f t="shared" ca="1" si="0"/>
        <v>20</v>
      </c>
      <c r="E12" s="10" t="s">
        <v>8</v>
      </c>
      <c r="F12" s="44">
        <f ca="1">PRODUCT('Normalizirane vrijednosti'!B12:J12) / SQRT(PRODUCT('Normalizirane vrijednosti'!K12:M12))</f>
        <v>24.248468347803897</v>
      </c>
      <c r="G12" s="4">
        <f t="shared" ca="1" si="1"/>
        <v>20</v>
      </c>
    </row>
    <row r="13" spans="1:7" x14ac:dyDescent="0.3">
      <c r="A13" s="10" t="s">
        <v>9</v>
      </c>
      <c r="B13" s="44">
        <f ca="1">PRODUCT('Normalizirane vrijednosti'!B13:J13) / PRODUCT('Normalizirane vrijednosti'!K13:M13)</f>
        <v>57.757013148647488</v>
      </c>
      <c r="C13" s="4">
        <f t="shared" ca="1" si="0"/>
        <v>22</v>
      </c>
      <c r="E13" s="10" t="s">
        <v>9</v>
      </c>
      <c r="F13" s="44">
        <f ca="1">PRODUCT('Normalizirane vrijednosti'!B13:J13) / SQRT(PRODUCT('Normalizirane vrijednosti'!K13:M13))</f>
        <v>23.692292226308737</v>
      </c>
      <c r="G13" s="4">
        <f t="shared" ca="1" si="1"/>
        <v>21</v>
      </c>
    </row>
    <row r="14" spans="1:7" x14ac:dyDescent="0.3">
      <c r="A14" s="10" t="s">
        <v>10</v>
      </c>
      <c r="B14" s="44">
        <f ca="1">PRODUCT('Normalizirane vrijednosti'!B14:J14) / PRODUCT('Normalizirane vrijednosti'!K14:M14)</f>
        <v>829.7684234906759</v>
      </c>
      <c r="C14" s="4">
        <f t="shared" ca="1" si="0"/>
        <v>5</v>
      </c>
      <c r="E14" s="10" t="s">
        <v>10</v>
      </c>
      <c r="F14" s="44">
        <f ca="1">PRODUCT('Normalizirane vrijednosti'!B14:J14) / SQRT(PRODUCT('Normalizirane vrijednosti'!K14:M14))</f>
        <v>66.434642869659811</v>
      </c>
      <c r="G14" s="4">
        <f t="shared" ca="1" si="1"/>
        <v>15</v>
      </c>
    </row>
    <row r="15" spans="1:7" x14ac:dyDescent="0.3">
      <c r="A15" s="10" t="s">
        <v>11</v>
      </c>
      <c r="B15" s="44">
        <f ca="1">PRODUCT('Normalizirane vrijednosti'!B15:J15) / PRODUCT('Normalizirane vrijednosti'!K15:M15)</f>
        <v>375.51186162785768</v>
      </c>
      <c r="C15" s="4">
        <f t="shared" ca="1" si="0"/>
        <v>11</v>
      </c>
      <c r="E15" s="10" t="s">
        <v>11</v>
      </c>
      <c r="F15" s="44">
        <f ca="1">PRODUCT('Normalizirane vrijednosti'!B15:J15) / SQRT(PRODUCT('Normalizirane vrijednosti'!K15:M15))</f>
        <v>78.630205679318451</v>
      </c>
      <c r="G15" s="4">
        <f t="shared" ca="1" si="1"/>
        <v>12</v>
      </c>
    </row>
    <row r="16" spans="1:7" x14ac:dyDescent="0.3">
      <c r="A16" s="10" t="s">
        <v>12</v>
      </c>
      <c r="B16" s="44">
        <f ca="1">PRODUCT('Normalizirane vrijednosti'!B16:J16) / PRODUCT('Normalizirane vrijednosti'!K16:M16)</f>
        <v>233.22268072046805</v>
      </c>
      <c r="C16" s="4">
        <f t="shared" ca="1" si="0"/>
        <v>16</v>
      </c>
      <c r="E16" s="10" t="s">
        <v>12</v>
      </c>
      <c r="F16" s="44">
        <f ca="1">PRODUCT('Normalizirane vrijednosti'!B16:J16) / SQRT(PRODUCT('Normalizirane vrijednosti'!K16:M16))</f>
        <v>83.088530646084067</v>
      </c>
      <c r="G16" s="4">
        <f t="shared" ca="1" si="1"/>
        <v>11</v>
      </c>
    </row>
    <row r="17" spans="1:7" x14ac:dyDescent="0.3">
      <c r="A17" s="10" t="s">
        <v>13</v>
      </c>
      <c r="B17" s="44">
        <f ca="1">PRODUCT('Normalizirane vrijednosti'!B17:J17) / PRODUCT('Normalizirane vrijednosti'!K17:M17)</f>
        <v>74.15164994524082</v>
      </c>
      <c r="C17" s="4">
        <f t="shared" ca="1" si="0"/>
        <v>18</v>
      </c>
      <c r="E17" s="10" t="s">
        <v>13</v>
      </c>
      <c r="F17" s="44">
        <f ca="1">PRODUCT('Normalizirane vrijednosti'!B17:J17) / SQRT(PRODUCT('Normalizirane vrijednosti'!K17:M17))</f>
        <v>51.799095057461209</v>
      </c>
      <c r="G17" s="4">
        <f t="shared" ca="1" si="1"/>
        <v>16</v>
      </c>
    </row>
    <row r="18" spans="1:7" x14ac:dyDescent="0.3">
      <c r="A18" s="10" t="s">
        <v>14</v>
      </c>
      <c r="B18" s="44">
        <f ca="1">PRODUCT('Normalizirane vrijednosti'!B18:J18) / PRODUCT('Normalizirane vrijednosti'!K18:M18)</f>
        <v>368.3882495459419</v>
      </c>
      <c r="C18" s="4">
        <f t="shared" ca="1" si="0"/>
        <v>12</v>
      </c>
      <c r="E18" s="10" t="s">
        <v>14</v>
      </c>
      <c r="F18" s="44">
        <f ca="1">PRODUCT('Normalizirane vrijednosti'!B18:J18) / SQRT(PRODUCT('Normalizirane vrijednosti'!K18:M18))</f>
        <v>93.642658761485208</v>
      </c>
      <c r="G18" s="4">
        <f t="shared" ca="1" si="1"/>
        <v>10</v>
      </c>
    </row>
    <row r="19" spans="1:7" x14ac:dyDescent="0.3">
      <c r="A19" s="95" t="s">
        <v>15</v>
      </c>
      <c r="B19" s="96">
        <f ca="1">PRODUCT('Normalizirane vrijednosti'!B19:J19) / PRODUCT('Normalizirane vrijednosti'!K19:M19)</f>
        <v>2193.7207026219544</v>
      </c>
      <c r="C19" s="97">
        <f t="shared" ca="1" si="0"/>
        <v>2</v>
      </c>
      <c r="E19" s="95" t="s">
        <v>15</v>
      </c>
      <c r="F19" s="44">
        <f ca="1">PRODUCT('Normalizirane vrijednosti'!B19:J19) / SQRT(PRODUCT('Normalizirane vrijednosti'!K19:M19))</f>
        <v>471.28680739074514</v>
      </c>
      <c r="G19" s="97">
        <f t="shared" ca="1" si="1"/>
        <v>2</v>
      </c>
    </row>
    <row r="20" spans="1:7" x14ac:dyDescent="0.3">
      <c r="A20" s="10" t="s">
        <v>16</v>
      </c>
      <c r="B20" s="44">
        <f ca="1">PRODUCT('Normalizirane vrijednosti'!B20:J20) / PRODUCT('Normalizirane vrijednosti'!K20:M20)</f>
        <v>13.982570672658207</v>
      </c>
      <c r="C20" s="4">
        <f t="shared" ca="1" si="0"/>
        <v>24</v>
      </c>
      <c r="E20" s="10" t="s">
        <v>16</v>
      </c>
      <c r="F20" s="44">
        <f ca="1">PRODUCT('Normalizirane vrijednosti'!B20:J20) / SQRT(PRODUCT('Normalizirane vrijednosti'!K20:M20))</f>
        <v>14.142987821616822</v>
      </c>
      <c r="G20" s="4">
        <f t="shared" ca="1" si="1"/>
        <v>23</v>
      </c>
    </row>
    <row r="21" spans="1:7" x14ac:dyDescent="0.3">
      <c r="A21" s="10" t="s">
        <v>17</v>
      </c>
      <c r="B21" s="44">
        <f ca="1">PRODUCT('Normalizirane vrijednosti'!B21:J21) / PRODUCT('Normalizirane vrijednosti'!K21:M21)</f>
        <v>319.9694483938473</v>
      </c>
      <c r="C21" s="4">
        <f t="shared" ca="1" si="0"/>
        <v>14</v>
      </c>
      <c r="E21" s="10" t="s">
        <v>17</v>
      </c>
      <c r="F21" s="44">
        <f ca="1">PRODUCT('Normalizirane vrijednosti'!B21:J21) / SQRT(PRODUCT('Normalizirane vrijednosti'!K21:M21))</f>
        <v>25.618058522669433</v>
      </c>
      <c r="G21" s="4">
        <f t="shared" ca="1" si="1"/>
        <v>19</v>
      </c>
    </row>
    <row r="22" spans="1:7" x14ac:dyDescent="0.3">
      <c r="A22" s="10" t="s">
        <v>18</v>
      </c>
      <c r="B22" s="44">
        <f ca="1">PRODUCT('Normalizirane vrijednosti'!B22:J22) / PRODUCT('Normalizirane vrijednosti'!K22:M22)</f>
        <v>416.70900770961038</v>
      </c>
      <c r="C22" s="4">
        <f t="shared" ca="1" si="0"/>
        <v>10</v>
      </c>
      <c r="E22" s="10" t="s">
        <v>18</v>
      </c>
      <c r="F22" s="44">
        <f ca="1">PRODUCT('Normalizirane vrijednosti'!B22:J22) / SQRT(PRODUCT('Normalizirane vrijednosti'!K22:M22))</f>
        <v>77.529586758290918</v>
      </c>
      <c r="G22" s="4">
        <f t="shared" ca="1" si="1"/>
        <v>13</v>
      </c>
    </row>
    <row r="23" spans="1:7" x14ac:dyDescent="0.3">
      <c r="A23" s="10" t="s">
        <v>19</v>
      </c>
      <c r="B23" s="44">
        <f ca="1">PRODUCT('Normalizirane vrijednosti'!B23:J23) / PRODUCT('Normalizirane vrijednosti'!K23:M23)</f>
        <v>229.16684634658012</v>
      </c>
      <c r="C23" s="4">
        <f t="shared" ca="1" si="0"/>
        <v>17</v>
      </c>
      <c r="E23" s="10" t="s">
        <v>19</v>
      </c>
      <c r="F23" s="44">
        <f ca="1">PRODUCT('Normalizirane vrijednosti'!B23:J23) / SQRT(PRODUCT('Normalizirane vrijednosti'!K23:M23))</f>
        <v>31.77972365919123</v>
      </c>
      <c r="G23" s="4">
        <f t="shared" ca="1" si="1"/>
        <v>18</v>
      </c>
    </row>
    <row r="24" spans="1:7" x14ac:dyDescent="0.3">
      <c r="A24" s="27" t="s">
        <v>20</v>
      </c>
      <c r="B24" s="46">
        <f ca="1">PRODUCT('Normalizirane vrijednosti'!B24:J24) / PRODUCT('Normalizirane vrijednosti'!K24:M24)</f>
        <v>1</v>
      </c>
      <c r="C24" s="42">
        <f t="shared" ca="1" si="0"/>
        <v>27</v>
      </c>
      <c r="E24" s="27" t="s">
        <v>20</v>
      </c>
      <c r="F24" s="113">
        <f ca="1">PRODUCT('Normalizirane vrijednosti'!B24:J24) / SQRT(PRODUCT('Normalizirane vrijednosti'!K24:M24))</f>
        <v>1</v>
      </c>
      <c r="G24" s="42">
        <f t="shared" ca="1" si="1"/>
        <v>27</v>
      </c>
    </row>
    <row r="25" spans="1:7" x14ac:dyDescent="0.3">
      <c r="A25" s="10" t="s">
        <v>21</v>
      </c>
      <c r="B25" s="44">
        <f ca="1">PRODUCT('Normalizirane vrijednosti'!B25:J25) / PRODUCT('Normalizirane vrijednosti'!K25:M25)</f>
        <v>505.67939564243972</v>
      </c>
      <c r="C25" s="4">
        <f t="shared" ca="1" si="0"/>
        <v>9</v>
      </c>
      <c r="E25" s="10" t="s">
        <v>21</v>
      </c>
      <c r="F25" s="44">
        <f ca="1">PRODUCT('Normalizirane vrijednosti'!B25:J25) / SQRT(PRODUCT('Normalizirane vrijednosti'!K25:M25))</f>
        <v>99.830845368103894</v>
      </c>
      <c r="G25" s="4">
        <f t="shared" ca="1" si="1"/>
        <v>9</v>
      </c>
    </row>
    <row r="26" spans="1:7" x14ac:dyDescent="0.3">
      <c r="A26" s="66" t="s">
        <v>22</v>
      </c>
      <c r="B26" s="94">
        <f ca="1">PRODUCT('Normalizirane vrijednosti'!B26:J26) / PRODUCT('Normalizirane vrijednosti'!K26:M26)</f>
        <v>3541.8326406296351</v>
      </c>
      <c r="C26" s="76">
        <f t="shared" ca="1" si="0"/>
        <v>1</v>
      </c>
      <c r="E26" s="66" t="s">
        <v>22</v>
      </c>
      <c r="F26" s="94">
        <f ca="1">PRODUCT('Normalizirane vrijednosti'!B26:J26) / SQRT(PRODUCT('Normalizirane vrijednosti'!K26:M26))</f>
        <v>715.14530964217511</v>
      </c>
      <c r="G26" s="76">
        <f t="shared" ca="1" si="1"/>
        <v>1</v>
      </c>
    </row>
    <row r="27" spans="1:7" x14ac:dyDescent="0.3">
      <c r="A27" s="10" t="s">
        <v>23</v>
      </c>
      <c r="B27" s="44">
        <f ca="1">PRODUCT('Normalizirane vrijednosti'!B27:J27) / PRODUCT('Normalizirane vrijednosti'!K27:M27)</f>
        <v>296.32123020347706</v>
      </c>
      <c r="C27" s="4">
        <f t="shared" ca="1" si="0"/>
        <v>15</v>
      </c>
      <c r="E27" s="10" t="s">
        <v>23</v>
      </c>
      <c r="F27" s="44">
        <f ca="1">PRODUCT('Normalizirane vrijednosti'!B27:J27) / SQRT(PRODUCT('Normalizirane vrijednosti'!K27:M27))</f>
        <v>76.876768290176472</v>
      </c>
      <c r="G27" s="4">
        <f t="shared" ca="1" si="1"/>
        <v>14</v>
      </c>
    </row>
    <row r="28" spans="1:7" x14ac:dyDescent="0.3">
      <c r="A28" s="10" t="s">
        <v>24</v>
      </c>
      <c r="B28" s="44">
        <f ca="1">PRODUCT('Normalizirane vrijednosti'!B28:J28) / PRODUCT('Normalizirane vrijednosti'!K28:M28)</f>
        <v>2.9781896321558072</v>
      </c>
      <c r="C28" s="4">
        <f t="shared" ca="1" si="0"/>
        <v>26</v>
      </c>
      <c r="E28" s="10" t="s">
        <v>24</v>
      </c>
      <c r="F28" s="44">
        <f ca="1">PRODUCT('Normalizirane vrijednosti'!B28:J28) / SQRT(PRODUCT('Normalizirane vrijednosti'!K28:M28))</f>
        <v>2.1983635321381225</v>
      </c>
      <c r="G28" s="4">
        <f t="shared" ca="1" si="1"/>
        <v>26</v>
      </c>
    </row>
    <row r="29" spans="1:7" x14ac:dyDescent="0.3">
      <c r="A29" s="10" t="s">
        <v>25</v>
      </c>
      <c r="B29" s="44">
        <f ca="1">PRODUCT('Normalizirane vrijednosti'!B29:J29) / PRODUCT('Normalizirane vrijednosti'!K29:M29)</f>
        <v>1593.1049908566413</v>
      </c>
      <c r="C29" s="4">
        <f t="shared" ca="1" si="0"/>
        <v>3</v>
      </c>
      <c r="E29" s="10" t="s">
        <v>25</v>
      </c>
      <c r="F29" s="44">
        <f ca="1">PRODUCT('Normalizirane vrijednosti'!B29:J29) / SQRT(PRODUCT('Normalizirane vrijednosti'!K29:M29))</f>
        <v>342.2538539576687</v>
      </c>
      <c r="G29" s="4">
        <f t="shared" ca="1" si="1"/>
        <v>3</v>
      </c>
    </row>
    <row r="30" spans="1:7" x14ac:dyDescent="0.3">
      <c r="A30" s="10" t="s">
        <v>26</v>
      </c>
      <c r="B30" s="44">
        <f ca="1">PRODUCT('Normalizirane vrijednosti'!B30:J30) / PRODUCT('Normalizirane vrijednosti'!K30:M30)</f>
        <v>16.178153091711103</v>
      </c>
      <c r="C30" s="4">
        <f t="shared" ca="1" si="0"/>
        <v>23</v>
      </c>
      <c r="E30" s="10" t="s">
        <v>26</v>
      </c>
      <c r="F30" s="44">
        <f ca="1">PRODUCT('Normalizirane vrijednosti'!B30:J30) / SQRT(PRODUCT('Normalizirane vrijednosti'!K30:M30))</f>
        <v>7.0590273774934831</v>
      </c>
      <c r="G30" s="4">
        <f t="shared" ca="1" si="1"/>
        <v>25</v>
      </c>
    </row>
    <row r="31" spans="1:7" x14ac:dyDescent="0.3">
      <c r="A31" s="10" t="s">
        <v>27</v>
      </c>
      <c r="B31" s="44">
        <f ca="1">PRODUCT('Normalizirane vrijednosti'!B31:J31) / PRODUCT('Normalizirane vrijednosti'!K31:M31)</f>
        <v>326.82972733207589</v>
      </c>
      <c r="C31" s="4">
        <f t="shared" ca="1" si="0"/>
        <v>13</v>
      </c>
      <c r="E31" s="10" t="s">
        <v>27</v>
      </c>
      <c r="F31" s="44">
        <f ca="1">PRODUCT('Normalizirane vrijednosti'!B31:J31) / SQRT(PRODUCT('Normalizirane vrijednosti'!K31:M31))</f>
        <v>119.91372657326099</v>
      </c>
      <c r="G31" s="4">
        <f t="shared" ca="1" si="1"/>
        <v>8</v>
      </c>
    </row>
    <row r="32" spans="1:7" ht="17.25" thickBot="1" x14ac:dyDescent="0.35">
      <c r="A32" s="26" t="s">
        <v>28</v>
      </c>
      <c r="B32" s="45">
        <f ca="1">PRODUCT('Normalizirane vrijednosti'!B32:J32) / PRODUCT('Normalizirane vrijednosti'!K32:M32)</f>
        <v>58.459165332289956</v>
      </c>
      <c r="C32" s="26">
        <f t="shared" ca="1" si="0"/>
        <v>21</v>
      </c>
      <c r="E32" s="26" t="s">
        <v>28</v>
      </c>
      <c r="F32" s="45">
        <f ca="1">PRODUCT('Normalizirane vrijednosti'!B32:J32) / SQRT(PRODUCT('Normalizirane vrijednosti'!K32:M32))</f>
        <v>19.252648880689911</v>
      </c>
      <c r="G32" s="26">
        <f t="shared" ca="1" si="1"/>
        <v>22</v>
      </c>
    </row>
  </sheetData>
  <mergeCells count="5">
    <mergeCell ref="A1:B1"/>
    <mergeCell ref="A4:C4"/>
    <mergeCell ref="A5:C5"/>
    <mergeCell ref="E4:G4"/>
    <mergeCell ref="E5:G5"/>
  </mergeCells>
  <pageMargins left="0.7" right="0.7" top="0.75" bottom="0.75" header="0.3" footer="0.3"/>
  <pageSetup paperSize="8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3064-E6BF-4CEA-8A62-4C2045F3A088}">
  <sheetPr>
    <pageSetUpPr fitToPage="1"/>
  </sheetPr>
  <dimension ref="A1:AD100"/>
  <sheetViews>
    <sheetView zoomScaleNormal="100" workbookViewId="0">
      <selection activeCell="D20" sqref="D20"/>
    </sheetView>
  </sheetViews>
  <sheetFormatPr defaultRowHeight="15" x14ac:dyDescent="0.25"/>
  <cols>
    <col min="1" max="3" width="30.7109375" customWidth="1"/>
    <col min="4" max="4" width="11.42578125" customWidth="1"/>
    <col min="18" max="18" width="11.7109375" customWidth="1"/>
    <col min="21" max="21" width="11.7109375" customWidth="1"/>
    <col min="32" max="34" width="9.140625" customWidth="1"/>
  </cols>
  <sheetData>
    <row r="1" spans="1:30" x14ac:dyDescent="0.25">
      <c r="A1" s="127" t="s">
        <v>118</v>
      </c>
      <c r="B1" s="127"/>
    </row>
    <row r="2" spans="1:30" ht="15.75" thickBot="1" x14ac:dyDescent="0.3"/>
    <row r="3" spans="1:30" ht="16.5" thickTop="1" thickBot="1" x14ac:dyDescent="0.3">
      <c r="A3" s="137" t="s">
        <v>42</v>
      </c>
      <c r="B3" s="138"/>
      <c r="C3" s="138"/>
    </row>
    <row r="4" spans="1:30" ht="16.5" thickTop="1" thickBot="1" x14ac:dyDescent="0.3">
      <c r="A4" s="65" t="s">
        <v>43</v>
      </c>
      <c r="B4" s="17" t="s">
        <v>53</v>
      </c>
      <c r="C4" s="16" t="s">
        <v>55</v>
      </c>
      <c r="D4" t="s">
        <v>2</v>
      </c>
      <c r="E4" t="s">
        <v>60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63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</row>
    <row r="5" spans="1:30" ht="15.75" thickTop="1" x14ac:dyDescent="0.25">
      <c r="A5" s="36" t="s">
        <v>58</v>
      </c>
      <c r="B5" s="18">
        <v>1</v>
      </c>
      <c r="C5" s="22" t="s">
        <v>59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s="23">
        <v>0.5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5">
      <c r="A6" s="37" t="s">
        <v>44</v>
      </c>
      <c r="B6" s="19">
        <v>1</v>
      </c>
      <c r="C6" s="13" t="s">
        <v>54</v>
      </c>
      <c r="D6">
        <v>1</v>
      </c>
      <c r="E6">
        <v>1</v>
      </c>
      <c r="F6">
        <v>1</v>
      </c>
      <c r="G6">
        <v>1</v>
      </c>
      <c r="H6">
        <v>1</v>
      </c>
      <c r="I6" s="23">
        <v>0.5</v>
      </c>
      <c r="J6" s="23">
        <v>0.5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 s="23">
        <v>0.5</v>
      </c>
      <c r="S6">
        <v>1</v>
      </c>
      <c r="T6">
        <v>1</v>
      </c>
      <c r="U6" s="23">
        <v>0.5</v>
      </c>
      <c r="V6" s="23">
        <v>0.5</v>
      </c>
      <c r="W6">
        <v>1</v>
      </c>
      <c r="X6">
        <v>1</v>
      </c>
      <c r="Y6">
        <v>1</v>
      </c>
      <c r="Z6">
        <v>1</v>
      </c>
      <c r="AA6">
        <v>1</v>
      </c>
      <c r="AB6" s="23">
        <v>0.5</v>
      </c>
      <c r="AC6">
        <v>1</v>
      </c>
      <c r="AD6">
        <v>1</v>
      </c>
    </row>
    <row r="7" spans="1:30" x14ac:dyDescent="0.25">
      <c r="A7" s="37" t="s">
        <v>45</v>
      </c>
      <c r="B7" s="19">
        <v>0.5</v>
      </c>
      <c r="C7" s="13" t="s">
        <v>57</v>
      </c>
      <c r="D7">
        <v>0.5</v>
      </c>
      <c r="E7">
        <v>0</v>
      </c>
      <c r="F7">
        <v>0.5</v>
      </c>
      <c r="G7">
        <v>0</v>
      </c>
      <c r="H7">
        <v>0.5</v>
      </c>
      <c r="I7">
        <v>0</v>
      </c>
      <c r="J7">
        <v>0</v>
      </c>
      <c r="K7">
        <v>0</v>
      </c>
      <c r="L7">
        <v>0</v>
      </c>
      <c r="M7">
        <v>0.5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23">
        <v>1</v>
      </c>
      <c r="X7" s="23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37" t="s">
        <v>47</v>
      </c>
      <c r="B8" s="19">
        <v>1</v>
      </c>
      <c r="C8" s="13" t="s">
        <v>56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25">
      <c r="A9" s="37" t="s">
        <v>48</v>
      </c>
      <c r="B9" s="19">
        <v>0.5</v>
      </c>
      <c r="C9" s="13" t="s">
        <v>57</v>
      </c>
      <c r="D9">
        <v>0.5</v>
      </c>
      <c r="E9">
        <v>0</v>
      </c>
      <c r="F9">
        <v>0</v>
      </c>
      <c r="G9">
        <v>0</v>
      </c>
      <c r="H9">
        <v>0</v>
      </c>
      <c r="I9">
        <v>0.5</v>
      </c>
      <c r="J9">
        <v>0</v>
      </c>
      <c r="K9">
        <v>0</v>
      </c>
      <c r="L9">
        <v>0</v>
      </c>
      <c r="M9">
        <v>0.5</v>
      </c>
      <c r="N9">
        <v>0</v>
      </c>
      <c r="O9">
        <v>0.5</v>
      </c>
      <c r="P9">
        <v>0</v>
      </c>
      <c r="Q9">
        <v>0</v>
      </c>
      <c r="R9">
        <v>0.5</v>
      </c>
      <c r="S9">
        <v>0</v>
      </c>
      <c r="T9">
        <v>0</v>
      </c>
      <c r="U9">
        <v>0.5</v>
      </c>
      <c r="V9" s="23">
        <v>0.5</v>
      </c>
      <c r="W9">
        <v>0</v>
      </c>
      <c r="X9">
        <v>0.5</v>
      </c>
      <c r="Y9">
        <v>0</v>
      </c>
      <c r="Z9">
        <v>0</v>
      </c>
      <c r="AA9">
        <v>0.5</v>
      </c>
      <c r="AB9">
        <v>0</v>
      </c>
      <c r="AC9">
        <v>0.5</v>
      </c>
      <c r="AD9">
        <v>0.5</v>
      </c>
    </row>
    <row r="10" spans="1:30" x14ac:dyDescent="0.25">
      <c r="A10" s="37" t="s">
        <v>62</v>
      </c>
      <c r="B10" s="19">
        <v>1</v>
      </c>
      <c r="C10" s="13" t="s">
        <v>56</v>
      </c>
      <c r="D10">
        <v>1</v>
      </c>
      <c r="E10">
        <v>1</v>
      </c>
      <c r="F10">
        <v>1</v>
      </c>
      <c r="G10">
        <v>0.5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 s="23">
        <v>1</v>
      </c>
      <c r="W10">
        <v>1</v>
      </c>
      <c r="X10">
        <v>1</v>
      </c>
      <c r="Y10">
        <v>1</v>
      </c>
      <c r="Z10">
        <v>0.5</v>
      </c>
      <c r="AA10">
        <v>1</v>
      </c>
      <c r="AB10">
        <v>1</v>
      </c>
      <c r="AC10">
        <v>1</v>
      </c>
      <c r="AD10">
        <v>1</v>
      </c>
    </row>
    <row r="11" spans="1:30" x14ac:dyDescent="0.25">
      <c r="A11" s="37" t="s">
        <v>46</v>
      </c>
      <c r="B11" s="19">
        <v>0.5</v>
      </c>
      <c r="C11" s="13" t="s">
        <v>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0.5</v>
      </c>
      <c r="N11">
        <v>0</v>
      </c>
      <c r="O11">
        <v>0.5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37" t="s">
        <v>49</v>
      </c>
      <c r="B12" s="19">
        <v>1</v>
      </c>
      <c r="C12" s="13" t="s">
        <v>54</v>
      </c>
      <c r="D12">
        <v>1</v>
      </c>
      <c r="E12">
        <v>1</v>
      </c>
      <c r="F12">
        <v>1</v>
      </c>
      <c r="G12" s="23">
        <v>0.5</v>
      </c>
      <c r="H12">
        <v>0</v>
      </c>
      <c r="I12" s="23">
        <v>0.5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 x14ac:dyDescent="0.25">
      <c r="A13" s="37" t="s">
        <v>61</v>
      </c>
      <c r="B13" s="19">
        <v>0.5</v>
      </c>
      <c r="C13" s="13" t="s">
        <v>57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</v>
      </c>
      <c r="T13">
        <v>0.5</v>
      </c>
      <c r="U13">
        <v>0.5</v>
      </c>
      <c r="V13">
        <v>0.5</v>
      </c>
      <c r="W13">
        <v>0.5</v>
      </c>
      <c r="X13">
        <v>0</v>
      </c>
      <c r="Y13">
        <v>0.5</v>
      </c>
      <c r="Z13">
        <v>0</v>
      </c>
      <c r="AA13">
        <v>0.5</v>
      </c>
      <c r="AB13">
        <v>0.5</v>
      </c>
      <c r="AC13">
        <v>0.5</v>
      </c>
      <c r="AD13">
        <v>0.5</v>
      </c>
    </row>
    <row r="14" spans="1:30" x14ac:dyDescent="0.25">
      <c r="A14" s="37" t="s">
        <v>64</v>
      </c>
      <c r="B14" s="19">
        <v>0.5</v>
      </c>
      <c r="C14" s="115" t="s">
        <v>57</v>
      </c>
      <c r="D14">
        <v>0.5</v>
      </c>
      <c r="E14">
        <v>0</v>
      </c>
      <c r="F14">
        <v>0.5</v>
      </c>
      <c r="G14">
        <v>0.5</v>
      </c>
      <c r="H14">
        <v>0.5</v>
      </c>
      <c r="I14">
        <v>0.5</v>
      </c>
      <c r="J14">
        <v>0</v>
      </c>
      <c r="K14">
        <v>0</v>
      </c>
      <c r="L14">
        <v>0</v>
      </c>
      <c r="M14">
        <v>0.5</v>
      </c>
      <c r="N14">
        <v>0.5</v>
      </c>
      <c r="O14">
        <v>0.5</v>
      </c>
      <c r="P14">
        <v>0.5</v>
      </c>
      <c r="Q14">
        <v>0</v>
      </c>
      <c r="R14">
        <v>0</v>
      </c>
      <c r="S14">
        <v>0</v>
      </c>
      <c r="T14">
        <v>0</v>
      </c>
      <c r="U14">
        <v>0.5</v>
      </c>
      <c r="V14">
        <v>0</v>
      </c>
      <c r="W14">
        <v>0.5</v>
      </c>
      <c r="X14">
        <v>0.5</v>
      </c>
      <c r="Y14">
        <v>0</v>
      </c>
      <c r="Z14">
        <v>0</v>
      </c>
      <c r="AA14">
        <v>0.5</v>
      </c>
      <c r="AB14">
        <v>0</v>
      </c>
      <c r="AC14">
        <v>0.5</v>
      </c>
      <c r="AD14">
        <v>0.5</v>
      </c>
    </row>
    <row r="15" spans="1:30" x14ac:dyDescent="0.25">
      <c r="A15" s="37" t="s">
        <v>90</v>
      </c>
      <c r="B15" s="14">
        <v>0.5</v>
      </c>
      <c r="C15" s="13" t="s">
        <v>57</v>
      </c>
      <c r="D15">
        <v>0.5</v>
      </c>
      <c r="E15">
        <v>0</v>
      </c>
      <c r="F15">
        <v>0.5</v>
      </c>
      <c r="G15">
        <v>0</v>
      </c>
      <c r="H15">
        <v>0.5</v>
      </c>
      <c r="I15">
        <v>0</v>
      </c>
      <c r="J15">
        <v>0</v>
      </c>
      <c r="K15">
        <v>0</v>
      </c>
      <c r="L15">
        <v>0</v>
      </c>
      <c r="M15">
        <v>0.5</v>
      </c>
      <c r="N15">
        <v>0</v>
      </c>
      <c r="O15">
        <v>0.5</v>
      </c>
      <c r="P15">
        <v>0.5</v>
      </c>
      <c r="Q15">
        <v>0</v>
      </c>
      <c r="R15">
        <v>0</v>
      </c>
      <c r="S15" s="23">
        <v>0.5</v>
      </c>
      <c r="T15">
        <v>0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</v>
      </c>
      <c r="AA15">
        <v>0.5</v>
      </c>
      <c r="AB15">
        <v>0</v>
      </c>
      <c r="AC15">
        <v>0</v>
      </c>
      <c r="AD15">
        <v>0</v>
      </c>
    </row>
    <row r="16" spans="1:30" x14ac:dyDescent="0.25">
      <c r="A16" s="37" t="s">
        <v>50</v>
      </c>
      <c r="B16" s="19">
        <v>0.5</v>
      </c>
      <c r="C16" s="13" t="s">
        <v>57</v>
      </c>
      <c r="D16">
        <v>0</v>
      </c>
      <c r="E16">
        <v>0</v>
      </c>
      <c r="F16">
        <v>0.5</v>
      </c>
      <c r="G16">
        <v>0</v>
      </c>
      <c r="H16" s="23">
        <v>1</v>
      </c>
      <c r="I16">
        <v>0.5</v>
      </c>
      <c r="J16">
        <v>0</v>
      </c>
      <c r="K16">
        <v>0</v>
      </c>
      <c r="L16">
        <v>0</v>
      </c>
      <c r="M16">
        <v>0.5</v>
      </c>
      <c r="N16">
        <v>0.5</v>
      </c>
      <c r="O16">
        <v>0</v>
      </c>
      <c r="P16">
        <v>0.5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0.5</v>
      </c>
      <c r="Y16">
        <v>0</v>
      </c>
      <c r="Z16">
        <v>0</v>
      </c>
      <c r="AA16">
        <v>0</v>
      </c>
      <c r="AB16">
        <v>0.5</v>
      </c>
      <c r="AC16">
        <v>0</v>
      </c>
      <c r="AD16">
        <v>0</v>
      </c>
    </row>
    <row r="17" spans="1:30" x14ac:dyDescent="0.25">
      <c r="A17" s="37" t="s">
        <v>117</v>
      </c>
      <c r="B17" s="19">
        <v>1</v>
      </c>
      <c r="C17" s="13" t="s">
        <v>56</v>
      </c>
      <c r="D17">
        <v>1</v>
      </c>
      <c r="E17" s="23">
        <v>1</v>
      </c>
      <c r="F17">
        <v>1</v>
      </c>
      <c r="G17" s="23">
        <v>1</v>
      </c>
      <c r="H17">
        <v>0</v>
      </c>
      <c r="I17">
        <v>0.5</v>
      </c>
      <c r="J17" s="23">
        <v>1</v>
      </c>
      <c r="K17">
        <v>0.5</v>
      </c>
      <c r="L17" s="23">
        <v>1</v>
      </c>
      <c r="M17">
        <v>0.5</v>
      </c>
      <c r="N17">
        <v>0.5</v>
      </c>
      <c r="O17">
        <v>0.5</v>
      </c>
      <c r="P17">
        <v>0.5</v>
      </c>
      <c r="Q17">
        <v>1</v>
      </c>
      <c r="R17">
        <v>1</v>
      </c>
      <c r="S17">
        <v>0.5</v>
      </c>
      <c r="T17">
        <v>1</v>
      </c>
      <c r="U17">
        <v>1</v>
      </c>
      <c r="V17">
        <v>0.5</v>
      </c>
      <c r="W17">
        <v>1</v>
      </c>
      <c r="X17">
        <v>1</v>
      </c>
      <c r="Y17">
        <v>0.5</v>
      </c>
      <c r="Z17" s="23">
        <v>1</v>
      </c>
      <c r="AA17">
        <v>0.5</v>
      </c>
      <c r="AB17">
        <v>0.5</v>
      </c>
      <c r="AC17">
        <v>1</v>
      </c>
      <c r="AD17">
        <v>1</v>
      </c>
    </row>
    <row r="18" spans="1:30" x14ac:dyDescent="0.25">
      <c r="A18" s="37" t="s">
        <v>52</v>
      </c>
      <c r="B18" s="19">
        <v>0.5</v>
      </c>
      <c r="C18" s="13" t="s">
        <v>57</v>
      </c>
      <c r="D18">
        <v>0.5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0.5</v>
      </c>
      <c r="Q18">
        <v>0.5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0.5</v>
      </c>
      <c r="AB18">
        <v>0.5</v>
      </c>
      <c r="AC18">
        <v>0</v>
      </c>
      <c r="AD18">
        <v>0.5</v>
      </c>
    </row>
    <row r="19" spans="1:30" ht="15.75" thickBot="1" x14ac:dyDescent="0.3">
      <c r="A19" s="38" t="s">
        <v>51</v>
      </c>
      <c r="B19" s="20">
        <f>SUM(B5:B18)</f>
        <v>10</v>
      </c>
      <c r="C19" s="21"/>
      <c r="D19" s="12">
        <f t="shared" ref="D19:T19" si="0">SUM(D5:D18)</f>
        <v>9</v>
      </c>
      <c r="E19" s="12">
        <f t="shared" si="0"/>
        <v>6.5</v>
      </c>
      <c r="F19" s="12">
        <f t="shared" si="0"/>
        <v>8.5</v>
      </c>
      <c r="G19" s="12">
        <f t="shared" si="0"/>
        <v>6</v>
      </c>
      <c r="H19" s="12">
        <f t="shared" si="0"/>
        <v>7</v>
      </c>
      <c r="I19" s="12">
        <f t="shared" si="0"/>
        <v>6</v>
      </c>
      <c r="J19" s="12">
        <f t="shared" si="0"/>
        <v>4.5</v>
      </c>
      <c r="K19" s="12">
        <f t="shared" si="0"/>
        <v>6</v>
      </c>
      <c r="L19" s="12">
        <f t="shared" si="0"/>
        <v>6.5</v>
      </c>
      <c r="M19" s="12">
        <f t="shared" si="0"/>
        <v>9</v>
      </c>
      <c r="N19" s="12">
        <f t="shared" si="0"/>
        <v>7</v>
      </c>
      <c r="O19" s="12">
        <f t="shared" si="0"/>
        <v>8</v>
      </c>
      <c r="P19" s="12">
        <f>SUM(P5:P18)</f>
        <v>8</v>
      </c>
      <c r="Q19" s="12">
        <f t="shared" si="0"/>
        <v>7.5</v>
      </c>
      <c r="R19" s="12">
        <f t="shared" si="0"/>
        <v>5.5</v>
      </c>
      <c r="S19" s="12">
        <f t="shared" si="0"/>
        <v>6</v>
      </c>
      <c r="T19" s="12">
        <f t="shared" si="0"/>
        <v>5.5</v>
      </c>
      <c r="U19" s="12">
        <f t="shared" ref="U19:AD19" si="1">SUM(U5:U18)</f>
        <v>7.5</v>
      </c>
      <c r="V19" s="12">
        <f t="shared" si="1"/>
        <v>5</v>
      </c>
      <c r="W19" s="12">
        <f t="shared" si="1"/>
        <v>8</v>
      </c>
      <c r="X19" s="12">
        <f t="shared" si="1"/>
        <v>7.5</v>
      </c>
      <c r="Y19" s="12">
        <f t="shared" si="1"/>
        <v>6</v>
      </c>
      <c r="Z19" s="12">
        <f t="shared" si="1"/>
        <v>4.5</v>
      </c>
      <c r="AA19" s="12">
        <f t="shared" si="1"/>
        <v>7</v>
      </c>
      <c r="AB19" s="12">
        <f t="shared" si="1"/>
        <v>5.5</v>
      </c>
      <c r="AC19" s="12">
        <f t="shared" si="1"/>
        <v>7.5</v>
      </c>
      <c r="AD19" s="12">
        <f t="shared" si="1"/>
        <v>8</v>
      </c>
    </row>
    <row r="20" spans="1:30" ht="16.5" thickTop="1" thickBot="1" x14ac:dyDescent="0.3"/>
    <row r="21" spans="1:30" ht="16.5" thickTop="1" thickBot="1" x14ac:dyDescent="0.3">
      <c r="A21" s="157" t="s">
        <v>137</v>
      </c>
      <c r="B21" s="158"/>
      <c r="C21" s="159"/>
    </row>
    <row r="22" spans="1:30" ht="16.5" thickTop="1" thickBot="1" x14ac:dyDescent="0.3">
      <c r="A22" s="65" t="s">
        <v>139</v>
      </c>
      <c r="B22" s="17" t="s">
        <v>53</v>
      </c>
      <c r="C22" s="16" t="s">
        <v>55</v>
      </c>
      <c r="D22" t="s">
        <v>2</v>
      </c>
      <c r="E22" t="s">
        <v>60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63</v>
      </c>
      <c r="O22" t="s">
        <v>13</v>
      </c>
      <c r="P22" t="s">
        <v>14</v>
      </c>
      <c r="Q22" t="s">
        <v>15</v>
      </c>
      <c r="R22" t="s">
        <v>16</v>
      </c>
      <c r="S22" t="s">
        <v>17</v>
      </c>
      <c r="T22" t="s">
        <v>18</v>
      </c>
      <c r="U22" t="s">
        <v>19</v>
      </c>
      <c r="V22" t="s">
        <v>20</v>
      </c>
      <c r="W22" t="s">
        <v>21</v>
      </c>
      <c r="X22" t="s">
        <v>22</v>
      </c>
      <c r="Y22" t="s">
        <v>23</v>
      </c>
      <c r="Z22" t="s">
        <v>24</v>
      </c>
      <c r="AA22" t="s">
        <v>25</v>
      </c>
      <c r="AB22" t="s">
        <v>26</v>
      </c>
      <c r="AC22" t="s">
        <v>27</v>
      </c>
      <c r="AD22" t="s">
        <v>28</v>
      </c>
    </row>
    <row r="23" spans="1:30" ht="15.75" thickTop="1" x14ac:dyDescent="0.25">
      <c r="A23" s="36" t="s">
        <v>138</v>
      </c>
      <c r="B23" s="18">
        <v>1.25</v>
      </c>
      <c r="C23" s="124" t="s">
        <v>146</v>
      </c>
      <c r="D23">
        <v>1</v>
      </c>
      <c r="E23">
        <v>0.6</v>
      </c>
      <c r="F23">
        <v>0.6</v>
      </c>
      <c r="G23">
        <v>0.5</v>
      </c>
      <c r="H23">
        <v>1.25</v>
      </c>
      <c r="I23">
        <v>0.75</v>
      </c>
      <c r="J23">
        <v>0.5</v>
      </c>
      <c r="K23">
        <v>0.6</v>
      </c>
      <c r="L23">
        <v>0.6</v>
      </c>
      <c r="M23">
        <v>0.5</v>
      </c>
      <c r="N23">
        <v>0.75</v>
      </c>
      <c r="O23">
        <v>0.5</v>
      </c>
      <c r="P23">
        <v>1</v>
      </c>
      <c r="Q23">
        <v>1.25</v>
      </c>
      <c r="R23">
        <v>0.5</v>
      </c>
      <c r="S23">
        <v>0.75</v>
      </c>
      <c r="T23">
        <v>0.75</v>
      </c>
      <c r="U23">
        <v>0.6</v>
      </c>
      <c r="V23">
        <v>0.5</v>
      </c>
      <c r="W23">
        <v>0.75</v>
      </c>
      <c r="X23">
        <v>1.25</v>
      </c>
      <c r="Y23">
        <v>0.75</v>
      </c>
      <c r="Z23">
        <v>0.5</v>
      </c>
      <c r="AA23">
        <v>1.25</v>
      </c>
      <c r="AB23">
        <v>1.25</v>
      </c>
      <c r="AC23">
        <v>0.6</v>
      </c>
      <c r="AD23">
        <v>0.6</v>
      </c>
    </row>
    <row r="24" spans="1:30" x14ac:dyDescent="0.25">
      <c r="A24" s="37" t="s">
        <v>140</v>
      </c>
      <c r="B24" s="19">
        <v>1.25</v>
      </c>
      <c r="C24" s="125" t="s">
        <v>147</v>
      </c>
      <c r="D24">
        <v>0.5</v>
      </c>
      <c r="E24">
        <v>0.6</v>
      </c>
      <c r="F24">
        <v>0.75</v>
      </c>
      <c r="G24">
        <v>0.5</v>
      </c>
      <c r="H24">
        <v>1.25</v>
      </c>
      <c r="I24">
        <v>0.75</v>
      </c>
      <c r="J24">
        <v>0.6</v>
      </c>
      <c r="K24">
        <v>0.5</v>
      </c>
      <c r="L24">
        <v>0.75</v>
      </c>
      <c r="M24">
        <v>0.5</v>
      </c>
      <c r="N24">
        <v>0.75</v>
      </c>
      <c r="O24">
        <v>0.5</v>
      </c>
      <c r="P24">
        <v>0.6</v>
      </c>
      <c r="Q24">
        <v>1.25</v>
      </c>
      <c r="R24">
        <v>0.5</v>
      </c>
      <c r="S24">
        <v>0.6</v>
      </c>
      <c r="T24">
        <v>0.75</v>
      </c>
      <c r="U24">
        <v>0.6</v>
      </c>
      <c r="V24">
        <v>0.5</v>
      </c>
      <c r="W24">
        <v>0.6</v>
      </c>
      <c r="X24">
        <v>1.25</v>
      </c>
      <c r="Y24">
        <v>0.6</v>
      </c>
      <c r="Z24">
        <v>0.5</v>
      </c>
      <c r="AA24">
        <v>1.25</v>
      </c>
      <c r="AB24">
        <v>1.25</v>
      </c>
      <c r="AC24">
        <v>0.6</v>
      </c>
      <c r="AD24">
        <v>0.5</v>
      </c>
    </row>
    <row r="25" spans="1:30" ht="15.75" thickBot="1" x14ac:dyDescent="0.3">
      <c r="A25" s="38" t="s">
        <v>51</v>
      </c>
      <c r="B25" s="20">
        <f>SUM(B23:B24)</f>
        <v>2.5</v>
      </c>
      <c r="C25" s="15"/>
      <c r="D25" s="12">
        <f t="shared" ref="D25:AD25" si="2">SUM(D23:D24)</f>
        <v>1.5</v>
      </c>
      <c r="E25" s="12">
        <f t="shared" si="2"/>
        <v>1.2</v>
      </c>
      <c r="F25" s="12">
        <f t="shared" si="2"/>
        <v>1.35</v>
      </c>
      <c r="G25" s="12">
        <f t="shared" si="2"/>
        <v>1</v>
      </c>
      <c r="H25" s="12">
        <f t="shared" si="2"/>
        <v>2.5</v>
      </c>
      <c r="I25" s="12">
        <f t="shared" si="2"/>
        <v>1.5</v>
      </c>
      <c r="J25" s="12">
        <f t="shared" si="2"/>
        <v>1.1000000000000001</v>
      </c>
      <c r="K25" s="12">
        <f t="shared" si="2"/>
        <v>1.1000000000000001</v>
      </c>
      <c r="L25" s="12">
        <f t="shared" si="2"/>
        <v>1.35</v>
      </c>
      <c r="M25" s="12">
        <f t="shared" si="2"/>
        <v>1</v>
      </c>
      <c r="N25" s="12">
        <f t="shared" si="2"/>
        <v>1.5</v>
      </c>
      <c r="O25" s="12">
        <f t="shared" si="2"/>
        <v>1</v>
      </c>
      <c r="P25" s="12">
        <f t="shared" si="2"/>
        <v>1.6</v>
      </c>
      <c r="Q25" s="12">
        <f t="shared" si="2"/>
        <v>2.5</v>
      </c>
      <c r="R25" s="12">
        <f t="shared" si="2"/>
        <v>1</v>
      </c>
      <c r="S25" s="12">
        <f t="shared" si="2"/>
        <v>1.35</v>
      </c>
      <c r="T25" s="12">
        <f t="shared" si="2"/>
        <v>1.5</v>
      </c>
      <c r="U25" s="12">
        <f t="shared" si="2"/>
        <v>1.2</v>
      </c>
      <c r="V25" s="12">
        <f t="shared" si="2"/>
        <v>1</v>
      </c>
      <c r="W25" s="12">
        <f t="shared" si="2"/>
        <v>1.35</v>
      </c>
      <c r="X25" s="12">
        <f t="shared" si="2"/>
        <v>2.5</v>
      </c>
      <c r="Y25" s="12">
        <f t="shared" si="2"/>
        <v>1.35</v>
      </c>
      <c r="Z25" s="12">
        <f t="shared" si="2"/>
        <v>1</v>
      </c>
      <c r="AA25" s="12">
        <f t="shared" si="2"/>
        <v>2.5</v>
      </c>
      <c r="AB25" s="12">
        <f t="shared" si="2"/>
        <v>2.5</v>
      </c>
      <c r="AC25" s="12">
        <f t="shared" si="2"/>
        <v>1.2</v>
      </c>
      <c r="AD25" s="12">
        <f t="shared" si="2"/>
        <v>1.1000000000000001</v>
      </c>
    </row>
    <row r="26" spans="1:30" ht="16.5" thickTop="1" thickBot="1" x14ac:dyDescent="0.3"/>
    <row r="27" spans="1:30" ht="16.5" thickTop="1" thickBot="1" x14ac:dyDescent="0.3">
      <c r="A27" s="160" t="s">
        <v>78</v>
      </c>
      <c r="B27" s="161"/>
      <c r="C27" s="162"/>
    </row>
    <row r="28" spans="1:30" ht="15.75" thickTop="1" x14ac:dyDescent="0.25">
      <c r="A28" s="39" t="s">
        <v>79</v>
      </c>
      <c r="B28" s="163" t="s">
        <v>81</v>
      </c>
      <c r="C28" s="164"/>
    </row>
    <row r="29" spans="1:30" x14ac:dyDescent="0.25">
      <c r="A29" s="40" t="s">
        <v>80</v>
      </c>
      <c r="B29" s="166" t="s">
        <v>82</v>
      </c>
      <c r="C29" s="167"/>
    </row>
    <row r="30" spans="1:30" x14ac:dyDescent="0.25">
      <c r="A30" s="40" t="s">
        <v>85</v>
      </c>
      <c r="B30" s="166" t="s">
        <v>83</v>
      </c>
      <c r="C30" s="167"/>
    </row>
    <row r="31" spans="1:30" ht="15.75" thickBot="1" x14ac:dyDescent="0.3">
      <c r="A31" s="41" t="s">
        <v>84</v>
      </c>
      <c r="B31" s="170" t="s">
        <v>86</v>
      </c>
      <c r="C31" s="171"/>
    </row>
    <row r="32" spans="1:30" ht="16.5" thickTop="1" thickBot="1" x14ac:dyDescent="0.3">
      <c r="A32" s="24"/>
      <c r="B32" s="139"/>
      <c r="C32" s="139"/>
    </row>
    <row r="33" spans="1:30" ht="16.5" thickTop="1" thickBot="1" x14ac:dyDescent="0.3">
      <c r="A33" s="140" t="s">
        <v>67</v>
      </c>
      <c r="B33" s="141"/>
      <c r="C33" s="141"/>
    </row>
    <row r="34" spans="1:30" ht="16.5" thickTop="1" thickBot="1" x14ac:dyDescent="0.3">
      <c r="A34" s="65" t="s">
        <v>43</v>
      </c>
      <c r="B34" s="17" t="s">
        <v>53</v>
      </c>
      <c r="C34" s="16" t="s">
        <v>55</v>
      </c>
      <c r="D34" t="s">
        <v>2</v>
      </c>
      <c r="E34" t="s">
        <v>60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63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 t="s">
        <v>18</v>
      </c>
      <c r="U34" t="s">
        <v>19</v>
      </c>
      <c r="V34" t="s">
        <v>20</v>
      </c>
      <c r="W34" t="s">
        <v>21</v>
      </c>
      <c r="X34" t="s">
        <v>22</v>
      </c>
      <c r="Y34" t="s">
        <v>23</v>
      </c>
      <c r="Z34" t="s">
        <v>24</v>
      </c>
      <c r="AA34" t="s">
        <v>25</v>
      </c>
      <c r="AB34" t="s">
        <v>26</v>
      </c>
      <c r="AC34" t="s">
        <v>27</v>
      </c>
      <c r="AD34" t="s">
        <v>28</v>
      </c>
    </row>
    <row r="35" spans="1:30" ht="15.75" thickTop="1" x14ac:dyDescent="0.25">
      <c r="A35" s="36" t="s">
        <v>112</v>
      </c>
      <c r="B35" s="18">
        <v>0.5</v>
      </c>
      <c r="C35" s="22" t="s">
        <v>120</v>
      </c>
      <c r="D35">
        <v>2.5</v>
      </c>
      <c r="E35">
        <v>3</v>
      </c>
      <c r="F35">
        <v>2.5</v>
      </c>
      <c r="G35">
        <v>2.5</v>
      </c>
      <c r="H35">
        <v>2.5</v>
      </c>
      <c r="I35">
        <v>2.5</v>
      </c>
      <c r="J35">
        <v>5</v>
      </c>
      <c r="K35">
        <v>5</v>
      </c>
      <c r="L35">
        <v>2.5</v>
      </c>
      <c r="M35">
        <v>2.5</v>
      </c>
      <c r="N35">
        <v>2.5</v>
      </c>
      <c r="O35">
        <v>5</v>
      </c>
      <c r="P35">
        <v>0</v>
      </c>
      <c r="Q35">
        <v>5</v>
      </c>
      <c r="R35">
        <v>5</v>
      </c>
      <c r="S35">
        <v>2.5</v>
      </c>
      <c r="T35">
        <v>3</v>
      </c>
      <c r="U35">
        <v>5</v>
      </c>
      <c r="V35">
        <v>5</v>
      </c>
      <c r="W35">
        <v>2.5</v>
      </c>
      <c r="X35" s="23">
        <v>4</v>
      </c>
      <c r="Y35">
        <v>2.5</v>
      </c>
      <c r="Z35">
        <v>5</v>
      </c>
      <c r="AA35">
        <v>5</v>
      </c>
      <c r="AB35">
        <v>2.5</v>
      </c>
      <c r="AC35">
        <v>5</v>
      </c>
      <c r="AD35">
        <v>3</v>
      </c>
    </row>
    <row r="36" spans="1:30" x14ac:dyDescent="0.25">
      <c r="A36" s="37" t="s">
        <v>111</v>
      </c>
      <c r="B36" s="19">
        <v>0.25</v>
      </c>
      <c r="C36" s="13" t="s">
        <v>121</v>
      </c>
      <c r="D36">
        <v>1.3</v>
      </c>
      <c r="E36">
        <v>0</v>
      </c>
      <c r="F36">
        <v>2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1.3</v>
      </c>
      <c r="N36">
        <v>0</v>
      </c>
      <c r="O36" s="23">
        <v>2.25</v>
      </c>
      <c r="P36" s="23">
        <v>1.7000000000000002</v>
      </c>
      <c r="Q36">
        <v>0</v>
      </c>
      <c r="R36">
        <v>0.70000000000000007</v>
      </c>
      <c r="S36">
        <v>0</v>
      </c>
      <c r="T36">
        <v>0</v>
      </c>
      <c r="U36">
        <v>0</v>
      </c>
      <c r="V36">
        <v>0</v>
      </c>
      <c r="W36">
        <v>1.3</v>
      </c>
      <c r="X36">
        <v>1.3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0.70000000000000007</v>
      </c>
    </row>
    <row r="37" spans="1:30" x14ac:dyDescent="0.25">
      <c r="A37" s="37" t="s">
        <v>68</v>
      </c>
      <c r="B37" s="19">
        <v>0.5</v>
      </c>
      <c r="C37" s="13" t="s">
        <v>122</v>
      </c>
      <c r="D37">
        <v>2.5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2.5</v>
      </c>
      <c r="O37">
        <v>0</v>
      </c>
      <c r="P37">
        <v>2.5</v>
      </c>
      <c r="Q37" s="23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23">
        <v>1</v>
      </c>
      <c r="AB37">
        <v>5</v>
      </c>
      <c r="AC37">
        <v>0</v>
      </c>
      <c r="AD37" s="23">
        <v>1</v>
      </c>
    </row>
    <row r="38" spans="1:30" x14ac:dyDescent="0.25">
      <c r="A38" s="37" t="s">
        <v>69</v>
      </c>
      <c r="B38" s="19">
        <v>0.25</v>
      </c>
      <c r="C38" s="13" t="s">
        <v>123</v>
      </c>
      <c r="D38">
        <v>0</v>
      </c>
      <c r="E38">
        <v>0</v>
      </c>
      <c r="F38">
        <v>0</v>
      </c>
      <c r="G38">
        <v>2.5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ht="15.75" thickBot="1" x14ac:dyDescent="0.3">
      <c r="A39" s="38" t="s">
        <v>51</v>
      </c>
      <c r="B39" s="20">
        <f>SUM(B35:B38)</f>
        <v>1.5</v>
      </c>
      <c r="C39" s="21"/>
      <c r="D39" s="12">
        <f t="shared" ref="D39:AD39" si="3">SUM(D35:D38)</f>
        <v>6.3</v>
      </c>
      <c r="E39" s="12">
        <f t="shared" si="3"/>
        <v>3</v>
      </c>
      <c r="F39" s="12">
        <f t="shared" si="3"/>
        <v>4.5</v>
      </c>
      <c r="G39" s="12">
        <f t="shared" si="3"/>
        <v>5</v>
      </c>
      <c r="H39" s="12">
        <f t="shared" si="3"/>
        <v>7.5</v>
      </c>
      <c r="I39" s="12">
        <f t="shared" si="3"/>
        <v>4.5</v>
      </c>
      <c r="J39" s="12">
        <f t="shared" si="3"/>
        <v>5</v>
      </c>
      <c r="K39" s="12">
        <f t="shared" si="3"/>
        <v>5</v>
      </c>
      <c r="L39" s="12">
        <f t="shared" si="3"/>
        <v>2.5</v>
      </c>
      <c r="M39" s="12">
        <f t="shared" si="3"/>
        <v>3.8</v>
      </c>
      <c r="N39" s="12">
        <f t="shared" si="3"/>
        <v>5</v>
      </c>
      <c r="O39" s="12">
        <f t="shared" si="3"/>
        <v>7.25</v>
      </c>
      <c r="P39" s="12">
        <f t="shared" si="3"/>
        <v>4.2</v>
      </c>
      <c r="Q39" s="12">
        <f t="shared" si="3"/>
        <v>6</v>
      </c>
      <c r="R39" s="12">
        <f t="shared" si="3"/>
        <v>5.7</v>
      </c>
      <c r="S39" s="12">
        <f t="shared" si="3"/>
        <v>2.5</v>
      </c>
      <c r="T39" s="12">
        <f t="shared" si="3"/>
        <v>3</v>
      </c>
      <c r="U39" s="12">
        <f t="shared" si="3"/>
        <v>5</v>
      </c>
      <c r="V39" s="12">
        <f t="shared" si="3"/>
        <v>7.5</v>
      </c>
      <c r="W39" s="12">
        <f t="shared" si="3"/>
        <v>3.8</v>
      </c>
      <c r="X39" s="12">
        <f t="shared" si="3"/>
        <v>5.3</v>
      </c>
      <c r="Y39" s="12">
        <f t="shared" si="3"/>
        <v>2.5</v>
      </c>
      <c r="Z39" s="12">
        <f t="shared" si="3"/>
        <v>5</v>
      </c>
      <c r="AA39" s="12">
        <f t="shared" si="3"/>
        <v>6</v>
      </c>
      <c r="AB39" s="12">
        <f t="shared" si="3"/>
        <v>7.5</v>
      </c>
      <c r="AC39" s="12">
        <f t="shared" si="3"/>
        <v>5</v>
      </c>
      <c r="AD39" s="12">
        <f t="shared" si="3"/>
        <v>4.7</v>
      </c>
    </row>
    <row r="40" spans="1:30" ht="16.5" thickTop="1" thickBot="1" x14ac:dyDescent="0.3">
      <c r="A40" s="12"/>
      <c r="B40" s="99"/>
      <c r="C40" s="11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ht="16.5" thickTop="1" thickBot="1" x14ac:dyDescent="0.3">
      <c r="A41" s="191" t="s">
        <v>70</v>
      </c>
      <c r="B41" s="192"/>
      <c r="C41" s="192"/>
    </row>
    <row r="42" spans="1:30" ht="16.5" thickTop="1" thickBot="1" x14ac:dyDescent="0.3">
      <c r="A42" s="65" t="s">
        <v>43</v>
      </c>
      <c r="B42" s="17" t="s">
        <v>53</v>
      </c>
      <c r="C42" s="16" t="s">
        <v>75</v>
      </c>
      <c r="D42" t="s">
        <v>2</v>
      </c>
      <c r="E42" t="s">
        <v>60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63</v>
      </c>
      <c r="O42" t="s">
        <v>13</v>
      </c>
      <c r="P42" t="s">
        <v>14</v>
      </c>
      <c r="Q42" t="s">
        <v>15</v>
      </c>
      <c r="R42" t="s">
        <v>16</v>
      </c>
      <c r="S42" t="s">
        <v>17</v>
      </c>
      <c r="T42" t="s">
        <v>18</v>
      </c>
      <c r="U42" t="s">
        <v>19</v>
      </c>
      <c r="V42" t="s">
        <v>20</v>
      </c>
      <c r="W42" t="s">
        <v>21</v>
      </c>
      <c r="X42" t="s">
        <v>22</v>
      </c>
      <c r="Y42" t="s">
        <v>23</v>
      </c>
      <c r="Z42" t="s">
        <v>24</v>
      </c>
      <c r="AA42" t="s">
        <v>25</v>
      </c>
      <c r="AB42" t="s">
        <v>26</v>
      </c>
      <c r="AC42" t="s">
        <v>27</v>
      </c>
      <c r="AD42" t="s">
        <v>28</v>
      </c>
    </row>
    <row r="43" spans="1:30" ht="15.75" thickTop="1" x14ac:dyDescent="0.25">
      <c r="A43" s="36" t="s">
        <v>91</v>
      </c>
      <c r="B43" s="18">
        <v>20</v>
      </c>
      <c r="C43" s="184" t="s">
        <v>76</v>
      </c>
      <c r="D43">
        <f>B43-3.3</f>
        <v>16.7</v>
      </c>
      <c r="E43">
        <f>B43-3</f>
        <v>17</v>
      </c>
      <c r="F43">
        <f>B43-1.6</f>
        <v>18.399999999999999</v>
      </c>
      <c r="G43">
        <f>B43-3.5</f>
        <v>16.5</v>
      </c>
      <c r="H43">
        <f>B43-2.7</f>
        <v>17.3</v>
      </c>
      <c r="I43">
        <f>B43-2.4</f>
        <v>17.600000000000001</v>
      </c>
      <c r="J43">
        <f>B43-3.3</f>
        <v>16.7</v>
      </c>
      <c r="K43">
        <f>B43-2.7</f>
        <v>17.3</v>
      </c>
      <c r="L43">
        <f>B43-2.7</f>
        <v>17.3</v>
      </c>
      <c r="M43">
        <f>B43-0.8</f>
        <v>19.2</v>
      </c>
      <c r="N43">
        <f>B43-2.4</f>
        <v>17.600000000000001</v>
      </c>
      <c r="O43">
        <f>B43-5.9</f>
        <v>14.1</v>
      </c>
      <c r="P43">
        <f>B43-2.8</f>
        <v>17.2</v>
      </c>
      <c r="Q43">
        <f>B43-5.1</f>
        <v>14.9</v>
      </c>
      <c r="R43">
        <f>B43-4</f>
        <v>16</v>
      </c>
      <c r="S43">
        <f>B43-2.3</f>
        <v>17.7</v>
      </c>
      <c r="T43">
        <f>B43-4.4</f>
        <v>15.6</v>
      </c>
      <c r="U43">
        <f>B43-3.6</f>
        <v>16.399999999999999</v>
      </c>
      <c r="V43">
        <f>B43-7.8</f>
        <v>12.2</v>
      </c>
      <c r="W43">
        <f>B43-1.4</f>
        <v>18.600000000000001</v>
      </c>
      <c r="X43">
        <f>B43-3.8</f>
        <v>16.2</v>
      </c>
      <c r="Y43">
        <f>B43-3.3</f>
        <v>16.7</v>
      </c>
      <c r="Z43">
        <f>B43-8.7</f>
        <v>11.3</v>
      </c>
      <c r="AA43">
        <f>B43-4.5</f>
        <v>15.5</v>
      </c>
      <c r="AB43">
        <f>B43-3.6</f>
        <v>16.399999999999999</v>
      </c>
      <c r="AC43">
        <f>B43-4.1</f>
        <v>15.9</v>
      </c>
      <c r="AD43">
        <f>B43-5.2</f>
        <v>14.8</v>
      </c>
    </row>
    <row r="44" spans="1:30" x14ac:dyDescent="0.25">
      <c r="A44" s="37" t="s">
        <v>92</v>
      </c>
      <c r="B44" s="19">
        <v>15</v>
      </c>
      <c r="C44" s="185"/>
      <c r="D44">
        <f>B44-3</f>
        <v>12</v>
      </c>
      <c r="E44">
        <f>B44-2.3</f>
        <v>12.7</v>
      </c>
      <c r="F44">
        <f>B44-2.5</f>
        <v>12.5</v>
      </c>
      <c r="G44">
        <f>B44-2.5</f>
        <v>12.5</v>
      </c>
      <c r="H44">
        <f>B44-3.1</f>
        <v>11.9</v>
      </c>
      <c r="I44">
        <f>B44-1.8</f>
        <v>13.2</v>
      </c>
      <c r="J44">
        <f>B44-1.8</f>
        <v>13.2</v>
      </c>
      <c r="K44">
        <f>B44-3</f>
        <v>12</v>
      </c>
      <c r="L44">
        <f>B44-1.8</f>
        <v>13.2</v>
      </c>
      <c r="M44">
        <f>B44-4</f>
        <v>11</v>
      </c>
      <c r="N44">
        <f>B44-2.4</f>
        <v>12.6</v>
      </c>
      <c r="O44">
        <f>B44-3</f>
        <v>12</v>
      </c>
      <c r="P44">
        <f>B44-6.3</f>
        <v>8.6999999999999993</v>
      </c>
      <c r="Q44">
        <f>B44-1.75</f>
        <v>13.25</v>
      </c>
      <c r="R44">
        <f>B44-2</f>
        <v>13</v>
      </c>
      <c r="S44">
        <f>B44-2.1</f>
        <v>12.9</v>
      </c>
      <c r="T44">
        <f>B44-2</f>
        <v>13</v>
      </c>
      <c r="U44">
        <f>B44-2.3</f>
        <v>12.7</v>
      </c>
      <c r="V44">
        <f>B44-4.25</f>
        <v>10.75</v>
      </c>
      <c r="W44">
        <f>B44-4.3</f>
        <v>10.7</v>
      </c>
      <c r="X44">
        <f>B44-0.95</f>
        <v>14.05</v>
      </c>
      <c r="Y44">
        <f>B44-0.85</f>
        <v>14.15</v>
      </c>
      <c r="Z44">
        <f>B44-5.25</f>
        <v>9.75</v>
      </c>
      <c r="AA44">
        <f>B44-1.45</f>
        <v>13.55</v>
      </c>
      <c r="AB44">
        <f>B44-7.1</f>
        <v>7.9</v>
      </c>
      <c r="AC44">
        <f>B44-0.7</f>
        <v>14.3</v>
      </c>
      <c r="AD44">
        <f>B44-1.85</f>
        <v>13.15</v>
      </c>
    </row>
    <row r="45" spans="1:30" x14ac:dyDescent="0.25">
      <c r="A45" s="37" t="s">
        <v>93</v>
      </c>
      <c r="B45" s="19">
        <v>8</v>
      </c>
      <c r="C45" s="185"/>
      <c r="D45">
        <f>B45-4.5</f>
        <v>3.5</v>
      </c>
      <c r="E45">
        <f>B45-3.6</f>
        <v>4.4000000000000004</v>
      </c>
      <c r="F45">
        <f>B45-3.2</f>
        <v>4.8</v>
      </c>
      <c r="G45">
        <f>B45-2.9</f>
        <v>5.0999999999999996</v>
      </c>
      <c r="H45">
        <f>B45-4.2</f>
        <v>3.8</v>
      </c>
      <c r="I45">
        <f>B45-3.2</f>
        <v>4.8</v>
      </c>
      <c r="J45">
        <f>B45-2.6</f>
        <v>5.4</v>
      </c>
      <c r="K45">
        <f>B45-3.7</f>
        <v>4.3</v>
      </c>
      <c r="L45">
        <v>3.2</v>
      </c>
      <c r="M45">
        <f>B45-4.2</f>
        <v>3.8</v>
      </c>
      <c r="N45">
        <f>B45-3.8</f>
        <v>4.2</v>
      </c>
      <c r="O45">
        <f>B45-1.4</f>
        <v>6.6</v>
      </c>
      <c r="P45">
        <f>B45-7</f>
        <v>1</v>
      </c>
      <c r="Q45">
        <f>B45-1.7</f>
        <v>6.3</v>
      </c>
      <c r="R45">
        <f>B45-2.2</f>
        <v>5.8</v>
      </c>
      <c r="S45">
        <f>B45-3.1</f>
        <v>4.9000000000000004</v>
      </c>
      <c r="T45">
        <f>B45-1.2</f>
        <v>6.8</v>
      </c>
      <c r="U45">
        <f>B45-2.6</f>
        <v>5.4</v>
      </c>
      <c r="V45">
        <f>B45-3.5</f>
        <v>4.5</v>
      </c>
      <c r="W45">
        <f>B45-5</f>
        <v>3</v>
      </c>
      <c r="X45">
        <f>B45-2.1</f>
        <v>5.9</v>
      </c>
      <c r="Y45">
        <f>B45-1.6</f>
        <v>6.4</v>
      </c>
      <c r="Z45">
        <f>B45-4.5</f>
        <v>3.5</v>
      </c>
      <c r="AA45">
        <f>B45-2.3</f>
        <v>5.7</v>
      </c>
      <c r="AB45">
        <f>B45-7.8</f>
        <v>0.20000000000000018</v>
      </c>
      <c r="AC45">
        <f>B45-1.9</f>
        <v>6.1</v>
      </c>
      <c r="AD45">
        <f>B45-2.8</f>
        <v>5.2</v>
      </c>
    </row>
    <row r="46" spans="1:30" x14ac:dyDescent="0.25">
      <c r="A46" s="37" t="s">
        <v>71</v>
      </c>
      <c r="B46" s="19">
        <v>5</v>
      </c>
      <c r="C46" s="185"/>
      <c r="D46">
        <f>B46-1.6</f>
        <v>3.4</v>
      </c>
      <c r="E46">
        <f>B46-1.9</f>
        <v>3.1</v>
      </c>
      <c r="F46">
        <f>B46-1.5</f>
        <v>3.5</v>
      </c>
      <c r="G46">
        <f>B46-3.9</f>
        <v>1.1000000000000001</v>
      </c>
      <c r="H46">
        <f>B46-0</f>
        <v>5</v>
      </c>
      <c r="I46">
        <f>B46-1.3</f>
        <v>3.7</v>
      </c>
      <c r="J46">
        <f>B46-3.3</f>
        <v>1.7000000000000002</v>
      </c>
      <c r="K46">
        <f>B46-2.9</f>
        <v>2.1</v>
      </c>
      <c r="L46">
        <f>B46-1.9</f>
        <v>3.1</v>
      </c>
      <c r="M46">
        <f>B46-0.3</f>
        <v>4.7</v>
      </c>
      <c r="N46">
        <f>B46-0.9</f>
        <v>4.0999999999999996</v>
      </c>
      <c r="O46" s="23">
        <f>B46-5.7</f>
        <v>-0.70000000000000018</v>
      </c>
      <c r="P46">
        <f>B46-1.5</f>
        <v>3.5</v>
      </c>
      <c r="Q46">
        <f>B46-4</f>
        <v>1</v>
      </c>
      <c r="R46">
        <f>B46-4.3</f>
        <v>0.70000000000000018</v>
      </c>
      <c r="S46">
        <f>B46-2.4</f>
        <v>2.6</v>
      </c>
      <c r="T46">
        <f>B46-1.6</f>
        <v>3.4</v>
      </c>
      <c r="U46">
        <f>B46-3.7</f>
        <v>1.2999999999999998</v>
      </c>
      <c r="V46" s="23">
        <f>B46-6.5</f>
        <v>-1.5</v>
      </c>
      <c r="W46">
        <f>B46-0.6</f>
        <v>4.4000000000000004</v>
      </c>
      <c r="X46">
        <f>B46-2.7</f>
        <v>2.2999999999999998</v>
      </c>
      <c r="Y46">
        <f>B46-3.1</f>
        <v>1.9</v>
      </c>
      <c r="Z46" s="23">
        <f>B46-7.5</f>
        <v>-2.5</v>
      </c>
      <c r="AA46">
        <f>B46-3.1</f>
        <v>1.9</v>
      </c>
      <c r="AB46">
        <f>B46-0.45</f>
        <v>4.55</v>
      </c>
      <c r="AC46">
        <f>B46-3.1</f>
        <v>1.9</v>
      </c>
      <c r="AD46">
        <f>B46-4.1</f>
        <v>0.90000000000000036</v>
      </c>
    </row>
    <row r="47" spans="1:30" x14ac:dyDescent="0.25">
      <c r="A47" s="37" t="s">
        <v>72</v>
      </c>
      <c r="B47" s="19">
        <v>7</v>
      </c>
      <c r="C47" s="185"/>
      <c r="D47">
        <f>B47-4.3</f>
        <v>2.7</v>
      </c>
      <c r="E47">
        <f>B47-3.6</f>
        <v>3.4</v>
      </c>
      <c r="F47">
        <f>B47-4</f>
        <v>3</v>
      </c>
      <c r="G47">
        <f>B47-3.4</f>
        <v>3.6</v>
      </c>
      <c r="H47">
        <f>B47-4.4</f>
        <v>2.5999999999999996</v>
      </c>
      <c r="I47">
        <f>B47-3.4</f>
        <v>3.6</v>
      </c>
      <c r="J47">
        <f>B47-3.5</f>
        <v>3.5</v>
      </c>
      <c r="K47">
        <f>B47-4.2</f>
        <v>2.8</v>
      </c>
      <c r="L47">
        <f>B47-3.3</f>
        <v>3.7</v>
      </c>
      <c r="M47">
        <f>B47-5.1</f>
        <v>1.9000000000000004</v>
      </c>
      <c r="N47">
        <f>B47-4</f>
        <v>3</v>
      </c>
      <c r="O47">
        <f>B47-1.1</f>
        <v>5.9</v>
      </c>
      <c r="P47" s="23">
        <f>B47-7.8</f>
        <v>-0.79999999999999982</v>
      </c>
      <c r="Q47">
        <f>B47-1.4</f>
        <v>5.6</v>
      </c>
      <c r="R47">
        <f>B47-2.7</f>
        <v>4.3</v>
      </c>
      <c r="S47">
        <f>B47-4.1</f>
        <v>2.9000000000000004</v>
      </c>
      <c r="T47">
        <f>B47-3.1</f>
        <v>3.9</v>
      </c>
      <c r="U47">
        <f>B47-3.1</f>
        <v>3.9</v>
      </c>
      <c r="V47">
        <f>B47-2</f>
        <v>5</v>
      </c>
      <c r="W47">
        <f>B47-6.3</f>
        <v>0.70000000000000018</v>
      </c>
      <c r="X47">
        <f>B47-2.1</f>
        <v>4.9000000000000004</v>
      </c>
      <c r="Y47">
        <f>B47-2.4</f>
        <v>4.5999999999999996</v>
      </c>
      <c r="Z47">
        <f>B47-3</f>
        <v>4</v>
      </c>
      <c r="AA47">
        <f>B47-2.1</f>
        <v>4.9000000000000004</v>
      </c>
      <c r="AB47" s="23">
        <f>B47-8.6</f>
        <v>-1.5999999999999996</v>
      </c>
      <c r="AC47">
        <f>B47-1.9</f>
        <v>5.0999999999999996</v>
      </c>
      <c r="AD47">
        <f>B47-2.5</f>
        <v>4.5</v>
      </c>
    </row>
    <row r="48" spans="1:30" x14ac:dyDescent="0.25">
      <c r="A48" s="37" t="s">
        <v>73</v>
      </c>
      <c r="B48" s="19">
        <v>7</v>
      </c>
      <c r="C48" s="185"/>
      <c r="D48" s="25">
        <f>B48-5.7</f>
        <v>1.2999999999999998</v>
      </c>
      <c r="E48" s="25">
        <f>B48-5</f>
        <v>2</v>
      </c>
      <c r="F48" s="25">
        <f>B48-4.4</f>
        <v>2.5999999999999996</v>
      </c>
      <c r="G48" s="25">
        <f>B48-3.3</f>
        <v>3.7</v>
      </c>
      <c r="H48" s="25">
        <f>B48-5.6</f>
        <v>1.4000000000000004</v>
      </c>
      <c r="I48">
        <f>B48-4.8</f>
        <v>2.2000000000000002</v>
      </c>
      <c r="J48">
        <f>B48-3.4</f>
        <v>3.6</v>
      </c>
      <c r="K48">
        <f>B48-4.1</f>
        <v>2.9000000000000004</v>
      </c>
      <c r="L48">
        <f>B48-4.8</f>
        <v>2.2000000000000002</v>
      </c>
      <c r="M48">
        <f>B48-5.5</f>
        <v>1.5</v>
      </c>
      <c r="N48">
        <f>B48-5.2</f>
        <v>1.7999999999999998</v>
      </c>
      <c r="O48">
        <f>B48-4.2</f>
        <v>2.8</v>
      </c>
      <c r="P48" s="23">
        <f>B48-7.6</f>
        <v>-0.59999999999999964</v>
      </c>
      <c r="Q48">
        <f>B48-2.9</f>
        <v>4.0999999999999996</v>
      </c>
      <c r="R48">
        <f>B48-2.6</f>
        <v>4.4000000000000004</v>
      </c>
      <c r="S48">
        <f>B48-3.9</f>
        <v>3.1</v>
      </c>
      <c r="T48">
        <f>B48-2.9</f>
        <v>4.0999999999999996</v>
      </c>
      <c r="U48">
        <f>B48-3</f>
        <v>4</v>
      </c>
      <c r="V48">
        <f>B48-4.7</f>
        <v>2.2999999999999998</v>
      </c>
      <c r="W48">
        <f>B48-6.2</f>
        <v>0.79999999999999982</v>
      </c>
      <c r="X48">
        <f>B48-3.5</f>
        <v>3.5</v>
      </c>
      <c r="Y48">
        <f>B48-3.2</f>
        <v>3.8</v>
      </c>
      <c r="Z48">
        <f>B48-5.7</f>
        <v>1.2999999999999998</v>
      </c>
      <c r="AA48">
        <f>B48-3.6</f>
        <v>3.4</v>
      </c>
      <c r="AB48" s="23">
        <f>B48-8.4</f>
        <v>-1.4000000000000004</v>
      </c>
      <c r="AC48">
        <f>B48-3.3</f>
        <v>3.7</v>
      </c>
      <c r="AD48">
        <f>B48-4</f>
        <v>3</v>
      </c>
    </row>
    <row r="49" spans="1:30" x14ac:dyDescent="0.25">
      <c r="A49" s="37" t="s">
        <v>74</v>
      </c>
      <c r="B49" s="19">
        <v>6</v>
      </c>
      <c r="C49" s="190"/>
      <c r="D49">
        <f>B49-0.55</f>
        <v>5.45</v>
      </c>
      <c r="E49">
        <f>B49-1.22</f>
        <v>4.78</v>
      </c>
      <c r="F49">
        <f>B49-1.5</f>
        <v>4.5</v>
      </c>
      <c r="G49">
        <f>B49-4</f>
        <v>2</v>
      </c>
      <c r="H49">
        <f>B49-1.1</f>
        <v>4.9000000000000004</v>
      </c>
      <c r="I49">
        <f>B49-1.1</f>
        <v>4.9000000000000004</v>
      </c>
      <c r="J49">
        <f>B49-2.8</f>
        <v>3.2</v>
      </c>
      <c r="K49">
        <f>B49-3</f>
        <v>3</v>
      </c>
      <c r="L49">
        <f>B49-1.4</f>
        <v>4.5999999999999996</v>
      </c>
      <c r="M49">
        <f>B49-2.3</f>
        <v>3.7</v>
      </c>
      <c r="N49">
        <f>B49-1</f>
        <v>5</v>
      </c>
      <c r="O49">
        <f>B49-2.9</f>
        <v>3.1</v>
      </c>
      <c r="P49">
        <f>B49-0.85</f>
        <v>5.15</v>
      </c>
      <c r="Q49">
        <f>B49-1.8</f>
        <v>4.2</v>
      </c>
      <c r="R49">
        <f>B49-3.8</f>
        <v>2.2000000000000002</v>
      </c>
      <c r="S49">
        <f>B49-2.1</f>
        <v>3.9</v>
      </c>
      <c r="T49">
        <f>B49-3.1</f>
        <v>2.9</v>
      </c>
      <c r="U49">
        <f>B49-3.4</f>
        <v>2.6</v>
      </c>
      <c r="V49">
        <f>B49-3.3</f>
        <v>2.7</v>
      </c>
      <c r="W49">
        <f>B49-1.4</f>
        <v>4.5999999999999996</v>
      </c>
      <c r="X49">
        <f>B49-1.6</f>
        <v>4.4000000000000004</v>
      </c>
      <c r="Y49">
        <f>B49-1.8</f>
        <v>4.2</v>
      </c>
      <c r="Z49">
        <f>B49-1.1</f>
        <v>4.9000000000000004</v>
      </c>
      <c r="AA49">
        <f>B49-0.9</f>
        <v>5.0999999999999996</v>
      </c>
      <c r="AB49">
        <f>B49-1.8</f>
        <v>4.2</v>
      </c>
      <c r="AC49">
        <f>B49-1.4</f>
        <v>4.5999999999999996</v>
      </c>
      <c r="AD49">
        <f>B49-1</f>
        <v>5</v>
      </c>
    </row>
    <row r="50" spans="1:30" ht="15.75" thickBot="1" x14ac:dyDescent="0.3">
      <c r="A50" s="38" t="s">
        <v>51</v>
      </c>
      <c r="B50" s="20">
        <f>SUM(B43:B49)</f>
        <v>68</v>
      </c>
      <c r="C50" s="15"/>
      <c r="D50" s="12">
        <f>SUM(D43:D49)</f>
        <v>45.050000000000004</v>
      </c>
      <c r="E50" s="12">
        <f t="shared" ref="E50:AD50" si="4">SUM(E43:E49)</f>
        <v>47.38</v>
      </c>
      <c r="F50" s="12">
        <f t="shared" si="4"/>
        <v>49.3</v>
      </c>
      <c r="G50" s="12">
        <f t="shared" si="4"/>
        <v>44.500000000000007</v>
      </c>
      <c r="H50" s="12">
        <f t="shared" si="4"/>
        <v>46.9</v>
      </c>
      <c r="I50" s="12">
        <f t="shared" si="4"/>
        <v>50.000000000000007</v>
      </c>
      <c r="J50" s="12">
        <f t="shared" si="4"/>
        <v>47.300000000000004</v>
      </c>
      <c r="K50" s="12">
        <f t="shared" si="4"/>
        <v>44.4</v>
      </c>
      <c r="L50" s="12">
        <f t="shared" si="4"/>
        <v>47.300000000000011</v>
      </c>
      <c r="M50" s="12">
        <f t="shared" si="4"/>
        <v>45.800000000000004</v>
      </c>
      <c r="N50" s="12">
        <f t="shared" si="4"/>
        <v>48.300000000000004</v>
      </c>
      <c r="O50" s="12">
        <f t="shared" si="4"/>
        <v>43.8</v>
      </c>
      <c r="P50" s="12">
        <f t="shared" si="4"/>
        <v>34.15</v>
      </c>
      <c r="Q50" s="12">
        <f t="shared" si="4"/>
        <v>49.35</v>
      </c>
      <c r="R50" s="12">
        <f t="shared" si="4"/>
        <v>46.4</v>
      </c>
      <c r="S50" s="12">
        <f t="shared" si="4"/>
        <v>48</v>
      </c>
      <c r="T50" s="12">
        <f t="shared" si="4"/>
        <v>49.699999999999996</v>
      </c>
      <c r="U50" s="12">
        <f t="shared" si="4"/>
        <v>46.3</v>
      </c>
      <c r="V50" s="12">
        <f t="shared" si="4"/>
        <v>35.950000000000003</v>
      </c>
      <c r="W50" s="12">
        <f t="shared" si="4"/>
        <v>42.8</v>
      </c>
      <c r="X50" s="12">
        <f t="shared" si="4"/>
        <v>51.249999999999993</v>
      </c>
      <c r="Y50" s="12">
        <f t="shared" si="4"/>
        <v>51.75</v>
      </c>
      <c r="Z50" s="12">
        <f t="shared" si="4"/>
        <v>32.25</v>
      </c>
      <c r="AA50" s="12">
        <f t="shared" si="4"/>
        <v>50.05</v>
      </c>
      <c r="AB50" s="12">
        <f t="shared" si="4"/>
        <v>30.249999999999996</v>
      </c>
      <c r="AC50" s="12">
        <f t="shared" si="4"/>
        <v>51.600000000000009</v>
      </c>
      <c r="AD50" s="12">
        <f t="shared" si="4"/>
        <v>46.550000000000004</v>
      </c>
    </row>
    <row r="51" spans="1:30" ht="15.75" customHeight="1" thickTop="1" thickBot="1" x14ac:dyDescent="0.3">
      <c r="H51" s="165" t="s">
        <v>94</v>
      </c>
      <c r="Z51" s="165" t="s">
        <v>95</v>
      </c>
    </row>
    <row r="52" spans="1:30" ht="16.5" thickTop="1" thickBot="1" x14ac:dyDescent="0.3">
      <c r="A52" s="168" t="s">
        <v>96</v>
      </c>
      <c r="B52" s="169"/>
      <c r="C52" s="169"/>
      <c r="H52" s="165"/>
      <c r="Z52" s="165"/>
    </row>
    <row r="53" spans="1:30" ht="15" customHeight="1" x14ac:dyDescent="0.25">
      <c r="A53" s="172" t="s">
        <v>116</v>
      </c>
      <c r="B53" s="173"/>
      <c r="C53" s="174"/>
      <c r="H53" s="165"/>
      <c r="Z53" s="165"/>
    </row>
    <row r="54" spans="1:30" ht="15" customHeight="1" x14ac:dyDescent="0.25">
      <c r="A54" s="175"/>
      <c r="B54" s="176"/>
      <c r="C54" s="177"/>
      <c r="D54" s="105"/>
      <c r="Z54" s="165"/>
    </row>
    <row r="55" spans="1:30" ht="15" customHeight="1" x14ac:dyDescent="0.25">
      <c r="A55" s="175"/>
      <c r="B55" s="176"/>
      <c r="C55" s="177"/>
      <c r="D55" s="105"/>
    </row>
    <row r="56" spans="1:30" ht="15" customHeight="1" x14ac:dyDescent="0.25">
      <c r="A56" s="175"/>
      <c r="B56" s="176"/>
      <c r="C56" s="177"/>
      <c r="D56" s="105"/>
      <c r="Z56" s="165" t="s">
        <v>115</v>
      </c>
    </row>
    <row r="57" spans="1:30" x14ac:dyDescent="0.25">
      <c r="A57" s="175"/>
      <c r="B57" s="176"/>
      <c r="C57" s="177"/>
      <c r="D57" s="105"/>
      <c r="Z57" s="165"/>
    </row>
    <row r="58" spans="1:30" ht="15.75" thickBot="1" x14ac:dyDescent="0.3">
      <c r="A58" s="178"/>
      <c r="B58" s="179"/>
      <c r="C58" s="180"/>
      <c r="D58" s="105"/>
      <c r="Z58" s="165"/>
    </row>
    <row r="59" spans="1:30" ht="16.5" thickTop="1" thickBot="1" x14ac:dyDescent="0.3">
      <c r="A59" s="65" t="s">
        <v>100</v>
      </c>
      <c r="B59" s="17" t="s">
        <v>114</v>
      </c>
      <c r="C59" s="16" t="s">
        <v>55</v>
      </c>
      <c r="D59" t="s">
        <v>2</v>
      </c>
      <c r="E59" t="s">
        <v>60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63</v>
      </c>
      <c r="O59" t="s">
        <v>13</v>
      </c>
      <c r="P59" t="s">
        <v>14</v>
      </c>
      <c r="Q59" t="s">
        <v>15</v>
      </c>
      <c r="R59" t="s">
        <v>16</v>
      </c>
      <c r="S59" t="s">
        <v>17</v>
      </c>
      <c r="T59" t="s">
        <v>18</v>
      </c>
      <c r="U59" t="s">
        <v>19</v>
      </c>
      <c r="V59" t="s">
        <v>20</v>
      </c>
      <c r="W59" t="s">
        <v>21</v>
      </c>
      <c r="X59" t="s">
        <v>22</v>
      </c>
      <c r="Y59" t="s">
        <v>23</v>
      </c>
      <c r="Z59" t="s">
        <v>24</v>
      </c>
      <c r="AA59" t="s">
        <v>25</v>
      </c>
      <c r="AB59" t="s">
        <v>26</v>
      </c>
      <c r="AC59" t="s">
        <v>27</v>
      </c>
      <c r="AD59" t="s">
        <v>28</v>
      </c>
    </row>
    <row r="60" spans="1:30" ht="15.75" thickTop="1" x14ac:dyDescent="0.25">
      <c r="A60" s="51" t="s">
        <v>97</v>
      </c>
      <c r="B60" s="62">
        <v>5</v>
      </c>
      <c r="C60" s="53" t="s">
        <v>103</v>
      </c>
      <c r="D60" s="59">
        <f>5*14</f>
        <v>70</v>
      </c>
      <c r="E60" s="59">
        <f>4.5*10</f>
        <v>45</v>
      </c>
      <c r="F60" s="59">
        <f>5*10</f>
        <v>50</v>
      </c>
      <c r="G60" s="59">
        <f>5*5</f>
        <v>25</v>
      </c>
      <c r="H60" s="59">
        <f>4.5*14</f>
        <v>63</v>
      </c>
      <c r="I60" s="59">
        <f>5*11</f>
        <v>55</v>
      </c>
      <c r="J60" s="59">
        <f>4.5*4</f>
        <v>18</v>
      </c>
      <c r="K60" s="59">
        <f>4.5*4</f>
        <v>18</v>
      </c>
      <c r="L60" s="59">
        <f>4.5*4</f>
        <v>18</v>
      </c>
      <c r="M60" s="59">
        <f>5*10</f>
        <v>50</v>
      </c>
      <c r="N60" s="59">
        <f>4.5*14</f>
        <v>63</v>
      </c>
      <c r="O60" s="59">
        <f>5*8</f>
        <v>40</v>
      </c>
      <c r="P60" s="59">
        <f>5*2</f>
        <v>10</v>
      </c>
      <c r="Q60" s="59">
        <f>5*7</f>
        <v>35</v>
      </c>
      <c r="R60" s="59">
        <f>4.5*8</f>
        <v>36</v>
      </c>
      <c r="S60" s="59">
        <f>4.5*2</f>
        <v>9</v>
      </c>
      <c r="T60" s="59">
        <f>5*5</f>
        <v>25</v>
      </c>
      <c r="U60" s="59">
        <f>5*5</f>
        <v>25</v>
      </c>
      <c r="V60" s="59">
        <f>5*1</f>
        <v>5</v>
      </c>
      <c r="W60" s="59">
        <f>4.5*4</f>
        <v>18</v>
      </c>
      <c r="X60" s="59">
        <f>5*9</f>
        <v>45</v>
      </c>
      <c r="Y60" s="59">
        <f>4.5*4</f>
        <v>18</v>
      </c>
      <c r="Z60" s="59">
        <f>4.5*1</f>
        <v>4.5</v>
      </c>
      <c r="AA60" s="59">
        <f>5*7</f>
        <v>35</v>
      </c>
      <c r="AB60" s="60">
        <f>4.5*2+2.5*3</f>
        <v>16.5</v>
      </c>
      <c r="AC60" s="59">
        <f>4.5*8</f>
        <v>36</v>
      </c>
      <c r="AD60" s="59">
        <f>5*3</f>
        <v>15</v>
      </c>
    </row>
    <row r="61" spans="1:30" ht="15" customHeight="1" x14ac:dyDescent="0.25">
      <c r="A61" s="142" t="s">
        <v>98</v>
      </c>
      <c r="B61" s="144">
        <v>3</v>
      </c>
      <c r="C61" s="146" t="s">
        <v>104</v>
      </c>
      <c r="D61" s="181">
        <f>3*4</f>
        <v>12</v>
      </c>
      <c r="E61" s="135">
        <f>2.5*4</f>
        <v>10</v>
      </c>
      <c r="F61" s="135">
        <f>2.5*5</f>
        <v>12.5</v>
      </c>
      <c r="G61" s="135">
        <f>2.5*2</f>
        <v>5</v>
      </c>
      <c r="H61" s="135">
        <f>2.5*4</f>
        <v>10</v>
      </c>
      <c r="I61" s="135">
        <f>2.5*4</f>
        <v>10</v>
      </c>
      <c r="J61" s="135">
        <f>2.5*2</f>
        <v>5</v>
      </c>
      <c r="K61" s="135">
        <f>2.5*1</f>
        <v>2.5</v>
      </c>
      <c r="L61" s="135">
        <f>2.5*2</f>
        <v>5</v>
      </c>
      <c r="M61" s="135">
        <f>3*5</f>
        <v>15</v>
      </c>
      <c r="N61" s="135">
        <f>2.5*4</f>
        <v>10</v>
      </c>
      <c r="O61" s="135">
        <v>0</v>
      </c>
      <c r="P61" s="135">
        <f>3*3</f>
        <v>9</v>
      </c>
      <c r="Q61" s="135">
        <f>3*3</f>
        <v>9</v>
      </c>
      <c r="R61" s="135">
        <f>2.5*1</f>
        <v>2.5</v>
      </c>
      <c r="S61" s="135">
        <f>2.5*1</f>
        <v>2.5</v>
      </c>
      <c r="T61" s="135">
        <f>3*2</f>
        <v>6</v>
      </c>
      <c r="U61" s="135">
        <f>3*1</f>
        <v>3</v>
      </c>
      <c r="V61" s="135">
        <v>0</v>
      </c>
      <c r="W61" s="135">
        <f>2.5*5</f>
        <v>12.5</v>
      </c>
      <c r="X61" s="135">
        <f>3*4</f>
        <v>12</v>
      </c>
      <c r="Y61" s="135">
        <f>2.5*2</f>
        <v>5</v>
      </c>
      <c r="Z61" s="135">
        <v>0</v>
      </c>
      <c r="AA61" s="135">
        <f>3*4</f>
        <v>12</v>
      </c>
      <c r="AB61" s="136">
        <f>2.5*2+1.5*1</f>
        <v>6.5</v>
      </c>
      <c r="AC61" s="135">
        <f>2.5*3</f>
        <v>7.5</v>
      </c>
      <c r="AD61" s="135">
        <f>2.5*2</f>
        <v>5</v>
      </c>
    </row>
    <row r="62" spans="1:30" x14ac:dyDescent="0.25">
      <c r="A62" s="148"/>
      <c r="B62" s="155"/>
      <c r="C62" s="156"/>
      <c r="D62" s="181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  <c r="AB62" s="136"/>
      <c r="AC62" s="135"/>
      <c r="AD62" s="135"/>
    </row>
    <row r="63" spans="1:30" x14ac:dyDescent="0.25">
      <c r="A63" s="143"/>
      <c r="B63" s="145"/>
      <c r="C63" s="147"/>
      <c r="D63" s="181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36"/>
      <c r="AC63" s="135"/>
      <c r="AD63" s="135"/>
    </row>
    <row r="64" spans="1:30" ht="15" customHeight="1" x14ac:dyDescent="0.25">
      <c r="A64" s="142" t="s">
        <v>102</v>
      </c>
      <c r="B64" s="149">
        <v>3</v>
      </c>
      <c r="C64" s="152" t="s">
        <v>104</v>
      </c>
      <c r="D64" s="181">
        <f>2.5*4</f>
        <v>10</v>
      </c>
      <c r="E64" s="135">
        <f>2.5*4</f>
        <v>10</v>
      </c>
      <c r="F64" s="135">
        <f>2.5*4</f>
        <v>10</v>
      </c>
      <c r="G64" s="135">
        <f>2.5*1</f>
        <v>2.5</v>
      </c>
      <c r="H64" s="135">
        <f>2.5*5</f>
        <v>12.5</v>
      </c>
      <c r="I64" s="135">
        <f>3*5</f>
        <v>15</v>
      </c>
      <c r="J64" s="135">
        <f>2.5*1</f>
        <v>2.5</v>
      </c>
      <c r="K64" s="135">
        <f>1.5*2</f>
        <v>3</v>
      </c>
      <c r="L64" s="135">
        <f>2.5*5</f>
        <v>12.5</v>
      </c>
      <c r="M64" s="135">
        <f>3*2</f>
        <v>6</v>
      </c>
      <c r="N64" s="135">
        <f>2.5*5</f>
        <v>12.5</v>
      </c>
      <c r="O64" s="135">
        <f>3*3</f>
        <v>9</v>
      </c>
      <c r="P64" s="135">
        <f>1.5*2</f>
        <v>3</v>
      </c>
      <c r="Q64" s="135">
        <f>2.5*2</f>
        <v>5</v>
      </c>
      <c r="R64" s="135">
        <f>2.5*1</f>
        <v>2.5</v>
      </c>
      <c r="S64" s="135">
        <f>2.5*2</f>
        <v>5</v>
      </c>
      <c r="T64" s="135">
        <f>3*3</f>
        <v>9</v>
      </c>
      <c r="U64" s="135">
        <f>3*1</f>
        <v>3</v>
      </c>
      <c r="V64" s="135">
        <f>3*1</f>
        <v>3</v>
      </c>
      <c r="W64" s="135">
        <f>2.5*2</f>
        <v>5</v>
      </c>
      <c r="X64" s="135">
        <f>3*5</f>
        <v>15</v>
      </c>
      <c r="Y64" s="135">
        <f>2.5*4</f>
        <v>10</v>
      </c>
      <c r="Z64" s="135">
        <f>1.5*1</f>
        <v>1.5</v>
      </c>
      <c r="AA64" s="135">
        <f>3*3</f>
        <v>9</v>
      </c>
      <c r="AB64" s="135">
        <f>1.5*6</f>
        <v>9</v>
      </c>
      <c r="AC64" s="135">
        <f>2.5*3</f>
        <v>7.5</v>
      </c>
      <c r="AD64" s="135">
        <f>2.5*1</f>
        <v>2.5</v>
      </c>
    </row>
    <row r="65" spans="1:30" x14ac:dyDescent="0.25">
      <c r="A65" s="148"/>
      <c r="B65" s="150"/>
      <c r="C65" s="153"/>
      <c r="D65" s="181"/>
      <c r="E65" s="135"/>
      <c r="F65" s="135"/>
      <c r="G65" s="135"/>
      <c r="H65" s="135"/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  <c r="AB65" s="135"/>
      <c r="AC65" s="135"/>
      <c r="AD65" s="135"/>
    </row>
    <row r="66" spans="1:30" x14ac:dyDescent="0.25">
      <c r="A66" s="148"/>
      <c r="B66" s="150"/>
      <c r="C66" s="153"/>
      <c r="D66" s="181"/>
      <c r="E66" s="135"/>
      <c r="F66" s="135"/>
      <c r="G66" s="135"/>
      <c r="H66" s="135"/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  <c r="AB66" s="135"/>
      <c r="AC66" s="135"/>
      <c r="AD66" s="135"/>
    </row>
    <row r="67" spans="1:30" x14ac:dyDescent="0.25">
      <c r="A67" s="148"/>
      <c r="B67" s="150"/>
      <c r="C67" s="153"/>
      <c r="D67" s="181"/>
      <c r="E67" s="135"/>
      <c r="F67" s="135"/>
      <c r="G67" s="135"/>
      <c r="H67" s="135"/>
      <c r="I67" s="135"/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35"/>
      <c r="U67" s="135"/>
      <c r="V67" s="135"/>
      <c r="W67" s="135"/>
      <c r="X67" s="135"/>
      <c r="Y67" s="135"/>
      <c r="Z67" s="135"/>
      <c r="AA67" s="135"/>
      <c r="AB67" s="135"/>
      <c r="AC67" s="135"/>
      <c r="AD67" s="135"/>
    </row>
    <row r="68" spans="1:30" x14ac:dyDescent="0.25">
      <c r="A68" s="148"/>
      <c r="B68" s="150"/>
      <c r="C68" s="153"/>
      <c r="D68" s="181"/>
      <c r="E68" s="135"/>
      <c r="F68" s="135"/>
      <c r="G68" s="135"/>
      <c r="H68" s="135"/>
      <c r="I68" s="135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  <c r="AA68" s="135"/>
      <c r="AB68" s="135"/>
      <c r="AC68" s="135"/>
      <c r="AD68" s="135"/>
    </row>
    <row r="69" spans="1:30" x14ac:dyDescent="0.25">
      <c r="A69" s="148"/>
      <c r="B69" s="150"/>
      <c r="C69" s="153"/>
      <c r="D69" s="181"/>
      <c r="E69" s="135"/>
      <c r="F69" s="135"/>
      <c r="G69" s="135"/>
      <c r="H69" s="135"/>
      <c r="I69" s="135"/>
      <c r="J69" s="135"/>
      <c r="K69" s="135"/>
      <c r="L69" s="135"/>
      <c r="M69" s="135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  <c r="AA69" s="135"/>
      <c r="AB69" s="135"/>
      <c r="AC69" s="135"/>
      <c r="AD69" s="135"/>
    </row>
    <row r="70" spans="1:30" ht="15" customHeight="1" x14ac:dyDescent="0.25">
      <c r="A70" s="143"/>
      <c r="B70" s="151"/>
      <c r="C70" s="154"/>
      <c r="D70" s="181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</row>
    <row r="71" spans="1:30" x14ac:dyDescent="0.25">
      <c r="A71" s="142" t="s">
        <v>99</v>
      </c>
      <c r="B71" s="144">
        <v>2</v>
      </c>
      <c r="C71" s="146" t="s">
        <v>105</v>
      </c>
      <c r="D71" s="181">
        <f>1.5*1</f>
        <v>1.5</v>
      </c>
      <c r="E71" s="135">
        <f>1.5*1</f>
        <v>1.5</v>
      </c>
      <c r="F71" s="135">
        <f>1.5*1</f>
        <v>1.5</v>
      </c>
      <c r="G71" s="135">
        <f>1*1</f>
        <v>1</v>
      </c>
      <c r="H71" s="135">
        <f>1.5*2</f>
        <v>3</v>
      </c>
      <c r="I71" s="135">
        <f>2*2</f>
        <v>4</v>
      </c>
      <c r="J71" s="135">
        <f>1*3</f>
        <v>3</v>
      </c>
      <c r="K71" s="135">
        <v>0</v>
      </c>
      <c r="L71" s="135">
        <f>1.5*2</f>
        <v>3</v>
      </c>
      <c r="M71" s="135">
        <f>1*2</f>
        <v>2</v>
      </c>
      <c r="N71" s="135">
        <f>1.5*2</f>
        <v>3</v>
      </c>
      <c r="O71" s="135">
        <f>2*2</f>
        <v>4</v>
      </c>
      <c r="P71" s="135">
        <v>0</v>
      </c>
      <c r="Q71" s="135">
        <f>1*2</f>
        <v>2</v>
      </c>
      <c r="R71" s="135">
        <f>1*1</f>
        <v>1</v>
      </c>
      <c r="S71" s="135">
        <f>1.5*1</f>
        <v>1.5</v>
      </c>
      <c r="T71" s="135">
        <f>1.5*2</f>
        <v>3</v>
      </c>
      <c r="U71" s="135">
        <f>1*1</f>
        <v>1</v>
      </c>
      <c r="V71" s="135">
        <f>2*1</f>
        <v>2</v>
      </c>
      <c r="W71" s="135">
        <v>0</v>
      </c>
      <c r="X71" s="135">
        <f>2*2</f>
        <v>4</v>
      </c>
      <c r="Y71" s="135">
        <f>1.5*2</f>
        <v>3</v>
      </c>
      <c r="Z71" s="135">
        <f>1.5*1</f>
        <v>1.5</v>
      </c>
      <c r="AA71" s="135">
        <f>1*2</f>
        <v>2</v>
      </c>
      <c r="AB71" s="135">
        <f>1*2</f>
        <v>2</v>
      </c>
      <c r="AC71" s="135">
        <f>1.5*2</f>
        <v>3</v>
      </c>
      <c r="AD71" s="135">
        <f>1*2</f>
        <v>2</v>
      </c>
    </row>
    <row r="72" spans="1:30" x14ac:dyDescent="0.25">
      <c r="A72" s="143"/>
      <c r="B72" s="145"/>
      <c r="C72" s="147"/>
      <c r="D72" s="181"/>
      <c r="E72" s="135"/>
      <c r="F72" s="135"/>
      <c r="G72" s="135"/>
      <c r="H72" s="135"/>
      <c r="I72" s="135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5"/>
      <c r="AA72" s="135"/>
      <c r="AB72" s="135"/>
      <c r="AC72" s="135"/>
      <c r="AD72" s="135"/>
    </row>
    <row r="73" spans="1:30" ht="15" customHeight="1" x14ac:dyDescent="0.25">
      <c r="A73" s="85" t="s">
        <v>113</v>
      </c>
      <c r="B73" s="87">
        <v>2</v>
      </c>
      <c r="C73" s="86" t="s">
        <v>105</v>
      </c>
      <c r="D73" s="84">
        <f>2*1</f>
        <v>2</v>
      </c>
      <c r="E73" s="83">
        <f>1.5*1</f>
        <v>1.5</v>
      </c>
      <c r="F73" s="83">
        <f>1.5*1</f>
        <v>1.5</v>
      </c>
      <c r="G73" s="88">
        <f>1*1</f>
        <v>1</v>
      </c>
      <c r="H73" s="83">
        <f>1.5*1</f>
        <v>1.5</v>
      </c>
      <c r="I73" s="83">
        <f>1.5*1</f>
        <v>1.5</v>
      </c>
      <c r="J73" s="83">
        <f>1.5*1</f>
        <v>1.5</v>
      </c>
      <c r="K73" s="83">
        <v>0</v>
      </c>
      <c r="L73" s="83">
        <f>1.5*2</f>
        <v>3</v>
      </c>
      <c r="M73" s="83">
        <f>2*3</f>
        <v>6</v>
      </c>
      <c r="N73" s="83">
        <f>1.5*1</f>
        <v>1.5</v>
      </c>
      <c r="O73" s="83">
        <v>0</v>
      </c>
      <c r="P73" s="83">
        <f>2*4</f>
        <v>8</v>
      </c>
      <c r="Q73" s="83">
        <f>2*4</f>
        <v>8</v>
      </c>
      <c r="R73" s="83">
        <v>0</v>
      </c>
      <c r="S73" s="88">
        <f>1.5*1</f>
        <v>1.5</v>
      </c>
      <c r="T73" s="83">
        <f>1.5*1</f>
        <v>1.5</v>
      </c>
      <c r="U73" s="83">
        <v>0</v>
      </c>
      <c r="V73" s="83">
        <v>0</v>
      </c>
      <c r="W73" s="83">
        <f>1.5*3</f>
        <v>4.5</v>
      </c>
      <c r="X73" s="83">
        <f>2*4</f>
        <v>8</v>
      </c>
      <c r="Y73" s="83">
        <f>1.5*1</f>
        <v>1.5</v>
      </c>
      <c r="Z73" s="83">
        <f>1.5*1</f>
        <v>1.5</v>
      </c>
      <c r="AA73" s="83">
        <f>2*4</f>
        <v>8</v>
      </c>
      <c r="AB73" s="88">
        <f>1.5*3+1*1</f>
        <v>5.5</v>
      </c>
      <c r="AC73" s="83">
        <f>1.5*3</f>
        <v>4.5</v>
      </c>
      <c r="AD73" s="83">
        <f>2*3</f>
        <v>6</v>
      </c>
    </row>
    <row r="74" spans="1:30" x14ac:dyDescent="0.25">
      <c r="A74" s="126" t="s">
        <v>109</v>
      </c>
      <c r="B74" s="52">
        <v>3.5</v>
      </c>
      <c r="C74" s="57" t="s">
        <v>110</v>
      </c>
      <c r="D74" s="58">
        <f>3.5*8</f>
        <v>28</v>
      </c>
      <c r="E74" s="58">
        <f>3*7</f>
        <v>21</v>
      </c>
      <c r="F74" s="58">
        <f>3*8</f>
        <v>24</v>
      </c>
      <c r="G74" s="100">
        <f>3.5*3</f>
        <v>10.5</v>
      </c>
      <c r="H74" s="58">
        <f>3*8</f>
        <v>24</v>
      </c>
      <c r="I74" s="58">
        <f>3*7</f>
        <v>21</v>
      </c>
      <c r="J74" s="100">
        <f>3*3</f>
        <v>9</v>
      </c>
      <c r="K74" s="58">
        <f>3*1</f>
        <v>3</v>
      </c>
      <c r="L74" s="58">
        <f>3*2</f>
        <v>6</v>
      </c>
      <c r="M74" s="58">
        <f>3.5*5</f>
        <v>17.5</v>
      </c>
      <c r="N74" s="58">
        <f>3*8</f>
        <v>24</v>
      </c>
      <c r="O74" s="59">
        <f>3.5*5</f>
        <v>17.5</v>
      </c>
      <c r="P74" s="59">
        <f>3.5*2</f>
        <v>7</v>
      </c>
      <c r="Q74" s="59">
        <f>3.5*6</f>
        <v>21</v>
      </c>
      <c r="R74" s="61">
        <f>3*6</f>
        <v>18</v>
      </c>
      <c r="S74" s="59">
        <v>0</v>
      </c>
      <c r="T74" s="59">
        <f>3.5*2</f>
        <v>7</v>
      </c>
      <c r="U74" s="61">
        <f>3.5*3</f>
        <v>10.5</v>
      </c>
      <c r="V74" s="59">
        <v>0</v>
      </c>
      <c r="W74" s="59">
        <f>3*4</f>
        <v>12</v>
      </c>
      <c r="X74" s="59">
        <f>3.5*7</f>
        <v>24.5</v>
      </c>
      <c r="Y74" s="59">
        <f>3*1</f>
        <v>3</v>
      </c>
      <c r="Z74" s="59">
        <f>3*1</f>
        <v>3</v>
      </c>
      <c r="AA74" s="59">
        <f>3.5*7</f>
        <v>24.5</v>
      </c>
      <c r="AB74" s="60">
        <f>3*2+1.75*2</f>
        <v>9.5</v>
      </c>
      <c r="AC74" s="59">
        <f>3*7</f>
        <v>21</v>
      </c>
      <c r="AD74" s="59">
        <f>3.5*2</f>
        <v>7</v>
      </c>
    </row>
    <row r="75" spans="1:30" x14ac:dyDescent="0.25">
      <c r="A75" s="55" t="s">
        <v>101</v>
      </c>
      <c r="B75" s="63">
        <v>1.5</v>
      </c>
      <c r="C75" s="56" t="s">
        <v>106</v>
      </c>
      <c r="D75" s="59">
        <v>1</v>
      </c>
      <c r="E75" s="59">
        <v>1</v>
      </c>
      <c r="F75" s="59">
        <v>1</v>
      </c>
      <c r="G75" s="59">
        <v>0</v>
      </c>
      <c r="H75" s="59">
        <v>1</v>
      </c>
      <c r="I75" s="59">
        <v>1</v>
      </c>
      <c r="J75" s="59">
        <v>0</v>
      </c>
      <c r="K75" s="59">
        <v>0</v>
      </c>
      <c r="L75" s="59">
        <v>0.5</v>
      </c>
      <c r="M75" s="59">
        <v>1</v>
      </c>
      <c r="N75" s="59">
        <v>1</v>
      </c>
      <c r="O75" s="59">
        <v>1</v>
      </c>
      <c r="P75" s="59">
        <v>0</v>
      </c>
      <c r="Q75" s="59">
        <v>1</v>
      </c>
      <c r="R75" s="59">
        <v>0</v>
      </c>
      <c r="S75" s="59">
        <v>0</v>
      </c>
      <c r="T75" s="61">
        <v>0.5</v>
      </c>
      <c r="U75" s="59">
        <v>0</v>
      </c>
      <c r="V75" s="59">
        <v>1</v>
      </c>
      <c r="W75" s="59">
        <v>0</v>
      </c>
      <c r="X75" s="59">
        <v>1</v>
      </c>
      <c r="Y75" s="61">
        <v>0.5</v>
      </c>
      <c r="Z75" s="59">
        <v>1</v>
      </c>
      <c r="AA75" s="59">
        <v>1</v>
      </c>
      <c r="AB75" s="59">
        <v>0.5</v>
      </c>
      <c r="AC75" s="59">
        <v>1</v>
      </c>
      <c r="AD75" s="59">
        <v>1</v>
      </c>
    </row>
    <row r="76" spans="1:30" x14ac:dyDescent="0.25">
      <c r="A76" s="37" t="s">
        <v>108</v>
      </c>
      <c r="B76" s="50">
        <v>1.5</v>
      </c>
      <c r="C76" s="54" t="s">
        <v>107</v>
      </c>
      <c r="D76">
        <v>1</v>
      </c>
      <c r="E76">
        <v>1</v>
      </c>
      <c r="F76">
        <v>1</v>
      </c>
      <c r="G76" s="47">
        <v>0.5</v>
      </c>
      <c r="H76">
        <v>1</v>
      </c>
      <c r="I76">
        <v>1</v>
      </c>
      <c r="J76">
        <v>1</v>
      </c>
      <c r="K76">
        <v>1</v>
      </c>
      <c r="L76">
        <v>0.5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0.5</v>
      </c>
      <c r="T76">
        <v>1</v>
      </c>
      <c r="U76">
        <v>1</v>
      </c>
      <c r="V76">
        <v>0</v>
      </c>
      <c r="W76">
        <v>0</v>
      </c>
      <c r="X76">
        <v>1</v>
      </c>
      <c r="Y76">
        <v>0.5</v>
      </c>
      <c r="Z76">
        <v>0</v>
      </c>
      <c r="AA76">
        <v>1</v>
      </c>
      <c r="AB76">
        <v>0.5</v>
      </c>
      <c r="AC76">
        <v>1</v>
      </c>
      <c r="AD76">
        <v>0</v>
      </c>
    </row>
    <row r="77" spans="1:30" ht="15.75" thickBot="1" x14ac:dyDescent="0.3">
      <c r="A77" s="38" t="s">
        <v>51</v>
      </c>
      <c r="B77" s="64">
        <f>SUM(B60:B76)</f>
        <v>21.5</v>
      </c>
      <c r="C77" s="21"/>
      <c r="D77" s="12">
        <f>SUM(D60:D76)</f>
        <v>125.5</v>
      </c>
      <c r="E77" s="12">
        <f t="shared" ref="E77:AD77" si="5">SUM(E60:E76)</f>
        <v>91</v>
      </c>
      <c r="F77" s="12">
        <f t="shared" si="5"/>
        <v>101.5</v>
      </c>
      <c r="G77" s="12">
        <f t="shared" si="5"/>
        <v>45.5</v>
      </c>
      <c r="H77" s="12">
        <f t="shared" si="5"/>
        <v>116</v>
      </c>
      <c r="I77" s="12">
        <f t="shared" si="5"/>
        <v>108.5</v>
      </c>
      <c r="J77" s="12">
        <f t="shared" si="5"/>
        <v>40</v>
      </c>
      <c r="K77" s="12">
        <f t="shared" si="5"/>
        <v>27.5</v>
      </c>
      <c r="L77" s="12">
        <f t="shared" si="5"/>
        <v>48.5</v>
      </c>
      <c r="M77" s="12">
        <f t="shared" si="5"/>
        <v>98.5</v>
      </c>
      <c r="N77" s="12">
        <f t="shared" si="5"/>
        <v>116</v>
      </c>
      <c r="O77" s="12">
        <f t="shared" si="5"/>
        <v>72.5</v>
      </c>
      <c r="P77" s="12">
        <f t="shared" si="5"/>
        <v>37</v>
      </c>
      <c r="Q77" s="12">
        <f t="shared" si="5"/>
        <v>82</v>
      </c>
      <c r="R77" s="12">
        <f t="shared" si="5"/>
        <v>61</v>
      </c>
      <c r="S77" s="12">
        <f t="shared" si="5"/>
        <v>20</v>
      </c>
      <c r="T77" s="12">
        <f t="shared" si="5"/>
        <v>53</v>
      </c>
      <c r="U77" s="12">
        <f t="shared" si="5"/>
        <v>43.5</v>
      </c>
      <c r="V77" s="12">
        <f t="shared" si="5"/>
        <v>11</v>
      </c>
      <c r="W77" s="12">
        <f t="shared" si="5"/>
        <v>52</v>
      </c>
      <c r="X77" s="12">
        <f t="shared" si="5"/>
        <v>110.5</v>
      </c>
      <c r="Y77" s="12">
        <f t="shared" si="5"/>
        <v>41.5</v>
      </c>
      <c r="Z77" s="12">
        <f t="shared" si="5"/>
        <v>13</v>
      </c>
      <c r="AA77" s="12">
        <f t="shared" si="5"/>
        <v>92.5</v>
      </c>
      <c r="AB77" s="12">
        <f t="shared" si="5"/>
        <v>50</v>
      </c>
      <c r="AC77" s="12">
        <f t="shared" si="5"/>
        <v>81.5</v>
      </c>
      <c r="AD77" s="12">
        <f t="shared" si="5"/>
        <v>38.5</v>
      </c>
    </row>
    <row r="78" spans="1:30" ht="16.5" thickTop="1" thickBot="1" x14ac:dyDescent="0.3"/>
    <row r="79" spans="1:30" ht="16.5" thickTop="1" thickBot="1" x14ac:dyDescent="0.3">
      <c r="A79" s="186" t="s">
        <v>142</v>
      </c>
      <c r="B79" s="187"/>
      <c r="C79" s="187"/>
    </row>
    <row r="80" spans="1:30" ht="16.5" thickTop="1" thickBot="1" x14ac:dyDescent="0.3">
      <c r="A80" s="65" t="s">
        <v>43</v>
      </c>
      <c r="B80" s="17" t="s">
        <v>53</v>
      </c>
      <c r="C80" s="16" t="s">
        <v>55</v>
      </c>
      <c r="D80" t="s">
        <v>2</v>
      </c>
      <c r="E80" t="s">
        <v>60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N80" t="s">
        <v>63</v>
      </c>
      <c r="O80" t="s">
        <v>13</v>
      </c>
      <c r="P80" t="s">
        <v>14</v>
      </c>
      <c r="Q80" t="s">
        <v>15</v>
      </c>
      <c r="R80" t="s">
        <v>16</v>
      </c>
      <c r="S80" t="s">
        <v>17</v>
      </c>
      <c r="T80" t="s">
        <v>18</v>
      </c>
      <c r="U80" t="s">
        <v>19</v>
      </c>
      <c r="V80" t="s">
        <v>20</v>
      </c>
      <c r="W80" t="s">
        <v>21</v>
      </c>
      <c r="X80" t="s">
        <v>22</v>
      </c>
      <c r="Y80" t="s">
        <v>23</v>
      </c>
      <c r="Z80" t="s">
        <v>24</v>
      </c>
      <c r="AA80" t="s">
        <v>25</v>
      </c>
      <c r="AB80" t="s">
        <v>26</v>
      </c>
      <c r="AC80" t="s">
        <v>27</v>
      </c>
      <c r="AD80" t="s">
        <v>28</v>
      </c>
    </row>
    <row r="81" spans="1:30" ht="15.75" customHeight="1" thickTop="1" x14ac:dyDescent="0.25">
      <c r="A81" s="36" t="s">
        <v>124</v>
      </c>
      <c r="B81" s="18">
        <v>3</v>
      </c>
      <c r="C81" s="22" t="s">
        <v>145</v>
      </c>
      <c r="D81">
        <v>1.25</v>
      </c>
      <c r="E81">
        <v>1.25</v>
      </c>
      <c r="F81">
        <v>1.25</v>
      </c>
      <c r="G81">
        <v>2.5</v>
      </c>
      <c r="H81">
        <v>2.5</v>
      </c>
      <c r="I81">
        <v>1.25</v>
      </c>
      <c r="J81">
        <v>1.5</v>
      </c>
      <c r="K81">
        <v>2</v>
      </c>
      <c r="L81">
        <v>0</v>
      </c>
      <c r="M81">
        <v>0.5</v>
      </c>
      <c r="N81">
        <v>1.5</v>
      </c>
      <c r="O81">
        <v>2</v>
      </c>
      <c r="P81" s="23">
        <v>1</v>
      </c>
      <c r="Q81">
        <v>0.5</v>
      </c>
      <c r="R81">
        <v>2.5</v>
      </c>
      <c r="S81">
        <v>0</v>
      </c>
      <c r="T81">
        <v>0.5</v>
      </c>
      <c r="U81">
        <v>0</v>
      </c>
      <c r="V81">
        <v>2.5</v>
      </c>
      <c r="W81">
        <v>0.5</v>
      </c>
      <c r="X81">
        <v>0.5</v>
      </c>
      <c r="Y81">
        <v>2</v>
      </c>
      <c r="Z81">
        <v>3</v>
      </c>
      <c r="AA81">
        <v>0.5</v>
      </c>
      <c r="AB81">
        <v>1.5</v>
      </c>
      <c r="AC81">
        <v>2</v>
      </c>
      <c r="AD81" s="23">
        <v>1.75</v>
      </c>
    </row>
    <row r="82" spans="1:30" x14ac:dyDescent="0.25">
      <c r="A82" s="37" t="s">
        <v>125</v>
      </c>
      <c r="B82" s="19">
        <v>3</v>
      </c>
      <c r="C82" s="13" t="s">
        <v>145</v>
      </c>
      <c r="D82">
        <v>1.25</v>
      </c>
      <c r="E82">
        <v>1.25</v>
      </c>
      <c r="F82">
        <v>1.25</v>
      </c>
      <c r="G82">
        <v>2.5</v>
      </c>
      <c r="H82">
        <v>2.5</v>
      </c>
      <c r="I82">
        <v>1.25</v>
      </c>
      <c r="J82">
        <v>1.5</v>
      </c>
      <c r="K82">
        <v>2</v>
      </c>
      <c r="L82">
        <v>0</v>
      </c>
      <c r="M82">
        <v>0.5</v>
      </c>
      <c r="N82">
        <v>1.5</v>
      </c>
      <c r="O82">
        <v>2</v>
      </c>
      <c r="P82" s="23">
        <v>1</v>
      </c>
      <c r="Q82">
        <v>0.5</v>
      </c>
      <c r="R82">
        <v>3</v>
      </c>
      <c r="S82">
        <v>0</v>
      </c>
      <c r="T82">
        <v>0.5</v>
      </c>
      <c r="U82">
        <v>0</v>
      </c>
      <c r="V82">
        <v>2.5</v>
      </c>
      <c r="W82">
        <v>0.5</v>
      </c>
      <c r="X82">
        <v>0.5</v>
      </c>
      <c r="Y82">
        <v>2</v>
      </c>
      <c r="Z82">
        <v>3</v>
      </c>
      <c r="AA82">
        <v>0.5</v>
      </c>
      <c r="AB82">
        <v>1.5</v>
      </c>
      <c r="AC82">
        <v>2</v>
      </c>
      <c r="AD82" s="23">
        <v>1.75</v>
      </c>
    </row>
    <row r="83" spans="1:30" x14ac:dyDescent="0.25">
      <c r="A83" s="37" t="s">
        <v>126</v>
      </c>
      <c r="B83" s="19">
        <v>2</v>
      </c>
      <c r="C83" s="13" t="s">
        <v>144</v>
      </c>
      <c r="D83">
        <v>0.5</v>
      </c>
      <c r="E83">
        <v>0.75</v>
      </c>
      <c r="F83">
        <v>0.5</v>
      </c>
      <c r="G83">
        <v>0.75</v>
      </c>
      <c r="H83">
        <v>1</v>
      </c>
      <c r="I83">
        <v>0.5</v>
      </c>
      <c r="J83">
        <v>0.75</v>
      </c>
      <c r="K83">
        <v>0.75</v>
      </c>
      <c r="L83">
        <v>0</v>
      </c>
      <c r="M83">
        <v>0</v>
      </c>
      <c r="N83">
        <v>1</v>
      </c>
      <c r="O83">
        <v>0.75</v>
      </c>
      <c r="P83">
        <v>0.5</v>
      </c>
      <c r="Q83">
        <v>0</v>
      </c>
      <c r="R83">
        <v>1</v>
      </c>
      <c r="S83">
        <v>0</v>
      </c>
      <c r="T83">
        <v>0.75</v>
      </c>
      <c r="U83">
        <v>0</v>
      </c>
      <c r="V83">
        <v>1</v>
      </c>
      <c r="W83">
        <v>0.5</v>
      </c>
      <c r="X83">
        <v>0</v>
      </c>
      <c r="Y83">
        <v>0.75</v>
      </c>
      <c r="Z83">
        <v>2</v>
      </c>
      <c r="AA83">
        <v>0</v>
      </c>
      <c r="AB83">
        <v>1</v>
      </c>
      <c r="AC83">
        <v>0.75</v>
      </c>
      <c r="AD83">
        <v>1</v>
      </c>
    </row>
    <row r="84" spans="1:30" x14ac:dyDescent="0.25">
      <c r="A84" s="37" t="s">
        <v>143</v>
      </c>
      <c r="B84" s="19">
        <v>1</v>
      </c>
      <c r="C84" s="13" t="s">
        <v>56</v>
      </c>
      <c r="D84">
        <v>0.5</v>
      </c>
      <c r="E84">
        <v>0.5</v>
      </c>
      <c r="F84">
        <v>0.5</v>
      </c>
      <c r="G84">
        <v>0.5</v>
      </c>
      <c r="H84">
        <v>0.5</v>
      </c>
      <c r="I84">
        <v>0.5</v>
      </c>
      <c r="J84">
        <v>0.5</v>
      </c>
      <c r="K84">
        <v>0.5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0.5</v>
      </c>
      <c r="S84">
        <v>0.5</v>
      </c>
      <c r="T84">
        <v>0.5</v>
      </c>
      <c r="U84">
        <v>0.5</v>
      </c>
      <c r="V84">
        <v>0.5</v>
      </c>
      <c r="W84">
        <v>0.5</v>
      </c>
      <c r="X84">
        <v>0.5</v>
      </c>
      <c r="Y84">
        <v>0.5</v>
      </c>
      <c r="Z84">
        <v>0.5</v>
      </c>
      <c r="AA84">
        <v>0.5</v>
      </c>
      <c r="AB84">
        <v>0.5</v>
      </c>
      <c r="AC84">
        <v>0.5</v>
      </c>
      <c r="AD84">
        <v>0</v>
      </c>
    </row>
    <row r="85" spans="1:30" ht="15.75" thickBot="1" x14ac:dyDescent="0.3">
      <c r="A85" s="38" t="s">
        <v>51</v>
      </c>
      <c r="B85" s="20">
        <f>SUM(B81:B84)</f>
        <v>9</v>
      </c>
      <c r="C85" s="21"/>
      <c r="D85" s="12">
        <f t="shared" ref="D85:AD85" si="6">SUM(D81:D84)</f>
        <v>3.5</v>
      </c>
      <c r="E85" s="12">
        <f t="shared" si="6"/>
        <v>3.75</v>
      </c>
      <c r="F85" s="12">
        <f t="shared" si="6"/>
        <v>3.5</v>
      </c>
      <c r="G85" s="12">
        <f t="shared" si="6"/>
        <v>6.25</v>
      </c>
      <c r="H85" s="12">
        <f t="shared" si="6"/>
        <v>6.5</v>
      </c>
      <c r="I85" s="12">
        <f t="shared" si="6"/>
        <v>3.5</v>
      </c>
      <c r="J85" s="12">
        <f t="shared" si="6"/>
        <v>4.25</v>
      </c>
      <c r="K85" s="12">
        <f t="shared" si="6"/>
        <v>5.25</v>
      </c>
      <c r="L85" s="12">
        <f t="shared" si="6"/>
        <v>0.5</v>
      </c>
      <c r="M85" s="12">
        <f t="shared" si="6"/>
        <v>1.5</v>
      </c>
      <c r="N85" s="12">
        <f t="shared" si="6"/>
        <v>4.5</v>
      </c>
      <c r="O85" s="12">
        <f t="shared" si="6"/>
        <v>5.25</v>
      </c>
      <c r="P85" s="12">
        <f t="shared" si="6"/>
        <v>3</v>
      </c>
      <c r="Q85" s="12">
        <f t="shared" si="6"/>
        <v>1.5</v>
      </c>
      <c r="R85" s="12">
        <f t="shared" si="6"/>
        <v>7</v>
      </c>
      <c r="S85" s="12">
        <f t="shared" si="6"/>
        <v>0.5</v>
      </c>
      <c r="T85" s="12">
        <f t="shared" si="6"/>
        <v>2.25</v>
      </c>
      <c r="U85" s="12">
        <f t="shared" si="6"/>
        <v>0.5</v>
      </c>
      <c r="V85" s="12">
        <f t="shared" si="6"/>
        <v>6.5</v>
      </c>
      <c r="W85" s="12">
        <f t="shared" si="6"/>
        <v>2</v>
      </c>
      <c r="X85" s="12">
        <f t="shared" si="6"/>
        <v>1.5</v>
      </c>
      <c r="Y85" s="12">
        <f t="shared" si="6"/>
        <v>5.25</v>
      </c>
      <c r="Z85" s="12">
        <f t="shared" si="6"/>
        <v>8.5</v>
      </c>
      <c r="AA85" s="12">
        <f t="shared" si="6"/>
        <v>1.5</v>
      </c>
      <c r="AB85" s="12">
        <f t="shared" si="6"/>
        <v>4.5</v>
      </c>
      <c r="AC85" s="12">
        <f t="shared" si="6"/>
        <v>5.25</v>
      </c>
      <c r="AD85" s="12">
        <f t="shared" si="6"/>
        <v>4.5</v>
      </c>
    </row>
    <row r="86" spans="1:30" ht="16.5" thickTop="1" thickBot="1" x14ac:dyDescent="0.3"/>
    <row r="87" spans="1:30" ht="16.5" thickTop="1" thickBot="1" x14ac:dyDescent="0.3">
      <c r="A87" s="188" t="s">
        <v>136</v>
      </c>
      <c r="B87" s="189"/>
      <c r="C87" s="189"/>
    </row>
    <row r="88" spans="1:30" ht="16.5" thickTop="1" thickBot="1" x14ac:dyDescent="0.3">
      <c r="A88" s="65" t="s">
        <v>130</v>
      </c>
      <c r="B88" s="17" t="s">
        <v>53</v>
      </c>
      <c r="C88" s="16" t="s">
        <v>75</v>
      </c>
      <c r="D88" t="s">
        <v>2</v>
      </c>
      <c r="E88" t="s">
        <v>60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63</v>
      </c>
      <c r="O88" t="s">
        <v>13</v>
      </c>
      <c r="P88" t="s">
        <v>14</v>
      </c>
      <c r="Q88" t="s">
        <v>15</v>
      </c>
      <c r="R88" t="s">
        <v>16</v>
      </c>
      <c r="S88" t="s">
        <v>17</v>
      </c>
      <c r="T88" t="s">
        <v>18</v>
      </c>
      <c r="U88" t="s">
        <v>19</v>
      </c>
      <c r="V88" t="s">
        <v>20</v>
      </c>
      <c r="W88" t="s">
        <v>21</v>
      </c>
      <c r="X88" t="s">
        <v>22</v>
      </c>
      <c r="Y88" t="s">
        <v>23</v>
      </c>
      <c r="Z88" t="s">
        <v>24</v>
      </c>
      <c r="AA88" t="s">
        <v>25</v>
      </c>
      <c r="AB88" t="s">
        <v>26</v>
      </c>
      <c r="AC88" t="s">
        <v>27</v>
      </c>
      <c r="AD88" t="s">
        <v>28</v>
      </c>
    </row>
    <row r="89" spans="1:30" ht="15.75" thickTop="1" x14ac:dyDescent="0.25">
      <c r="A89" s="36" t="s">
        <v>134</v>
      </c>
      <c r="B89" s="18">
        <v>5</v>
      </c>
      <c r="C89" s="184" t="s">
        <v>132</v>
      </c>
      <c r="D89" s="120">
        <v>0.05</v>
      </c>
      <c r="E89" s="120">
        <v>0.25</v>
      </c>
      <c r="F89" s="120">
        <v>0.15</v>
      </c>
      <c r="G89" s="120">
        <v>0</v>
      </c>
      <c r="H89" s="120">
        <v>0</v>
      </c>
      <c r="I89" s="120">
        <v>0.1</v>
      </c>
      <c r="J89" s="120">
        <v>0.25</v>
      </c>
      <c r="K89" s="120">
        <v>0.09</v>
      </c>
      <c r="L89" s="120">
        <v>0.25</v>
      </c>
      <c r="M89" s="120">
        <v>0.2</v>
      </c>
      <c r="N89" s="120">
        <v>0</v>
      </c>
      <c r="O89" s="120">
        <v>0.05</v>
      </c>
      <c r="P89" s="120">
        <v>0</v>
      </c>
      <c r="Q89" s="120">
        <v>0.5</v>
      </c>
      <c r="R89" s="120">
        <v>0</v>
      </c>
      <c r="S89" s="120">
        <v>0.25</v>
      </c>
      <c r="T89" s="120">
        <v>0.7</v>
      </c>
      <c r="U89" s="120">
        <v>0.1</v>
      </c>
      <c r="V89" s="120">
        <v>0</v>
      </c>
      <c r="W89" s="120">
        <v>0.3</v>
      </c>
      <c r="X89" s="120">
        <v>0.6</v>
      </c>
      <c r="Y89" s="120">
        <v>0.2</v>
      </c>
      <c r="Z89" s="120">
        <v>0</v>
      </c>
      <c r="AA89" s="120">
        <v>0.35</v>
      </c>
      <c r="AB89" s="120">
        <v>0</v>
      </c>
      <c r="AC89" s="120">
        <v>0.05</v>
      </c>
      <c r="AD89" s="120">
        <v>0</v>
      </c>
    </row>
    <row r="90" spans="1:30" x14ac:dyDescent="0.25">
      <c r="A90" s="37" t="s">
        <v>129</v>
      </c>
      <c r="B90" s="19">
        <v>6</v>
      </c>
      <c r="C90" s="185"/>
      <c r="D90" s="120">
        <v>0.25</v>
      </c>
      <c r="E90" s="120">
        <v>0.25</v>
      </c>
      <c r="F90" s="120">
        <v>0.35</v>
      </c>
      <c r="G90" s="120">
        <v>0.2</v>
      </c>
      <c r="H90" s="120">
        <v>0.3</v>
      </c>
      <c r="I90" s="120">
        <v>0.4</v>
      </c>
      <c r="J90" s="120">
        <v>0.25</v>
      </c>
      <c r="K90" s="120">
        <v>0.21</v>
      </c>
      <c r="L90" s="120">
        <v>0.74</v>
      </c>
      <c r="M90" s="120">
        <v>0.77500000000000002</v>
      </c>
      <c r="N90" s="120">
        <v>0.4</v>
      </c>
      <c r="O90" s="120">
        <v>0.2</v>
      </c>
      <c r="P90" s="120">
        <v>0.5</v>
      </c>
      <c r="Q90" s="120">
        <v>0.4</v>
      </c>
      <c r="R90" s="120">
        <v>0.1</v>
      </c>
      <c r="S90" s="120">
        <v>0.75</v>
      </c>
      <c r="T90" s="120">
        <v>0.05</v>
      </c>
      <c r="U90" s="120">
        <v>0.8</v>
      </c>
      <c r="V90" s="120">
        <v>0.1</v>
      </c>
      <c r="W90" s="120">
        <v>0.55000000000000004</v>
      </c>
      <c r="X90" s="120">
        <v>0.35</v>
      </c>
      <c r="Y90" s="120">
        <v>0.2</v>
      </c>
      <c r="Z90" s="120">
        <v>0</v>
      </c>
      <c r="AA90" s="120">
        <v>0.35</v>
      </c>
      <c r="AB90" s="120">
        <v>0.05</v>
      </c>
      <c r="AC90" s="120">
        <v>0.2</v>
      </c>
      <c r="AD90" s="120">
        <v>0.9</v>
      </c>
    </row>
    <row r="91" spans="1:30" x14ac:dyDescent="0.25">
      <c r="A91" s="116" t="s">
        <v>141</v>
      </c>
      <c r="B91" s="117">
        <v>7</v>
      </c>
      <c r="C91" s="185"/>
      <c r="D91" s="120">
        <v>0.7</v>
      </c>
      <c r="E91" s="120">
        <v>0.5</v>
      </c>
      <c r="F91" s="120">
        <v>0.5</v>
      </c>
      <c r="G91" s="120">
        <v>0.8</v>
      </c>
      <c r="H91" s="121">
        <v>0.35</v>
      </c>
      <c r="I91" s="120">
        <v>0.5</v>
      </c>
      <c r="J91" s="120">
        <v>0.5</v>
      </c>
      <c r="K91" s="120">
        <v>0.7</v>
      </c>
      <c r="L91" s="120">
        <v>0.01</v>
      </c>
      <c r="M91" s="120">
        <v>2.5000000000000001E-2</v>
      </c>
      <c r="N91" s="121">
        <v>0.3</v>
      </c>
      <c r="O91" s="120">
        <v>0.75</v>
      </c>
      <c r="P91" s="120">
        <v>0.5</v>
      </c>
      <c r="Q91" s="120">
        <v>0.1</v>
      </c>
      <c r="R91" s="120">
        <v>0.9</v>
      </c>
      <c r="S91" s="120">
        <v>0</v>
      </c>
      <c r="T91" s="120">
        <v>0.25</v>
      </c>
      <c r="U91" s="120">
        <v>0</v>
      </c>
      <c r="V91" s="120">
        <v>0.9</v>
      </c>
      <c r="W91" s="120">
        <v>0.15</v>
      </c>
      <c r="X91" s="120">
        <v>0.1</v>
      </c>
      <c r="Y91" s="120">
        <v>0.6</v>
      </c>
      <c r="Z91" s="120">
        <v>1</v>
      </c>
      <c r="AA91" s="120">
        <v>0.3</v>
      </c>
      <c r="AB91" s="121">
        <v>0.47499999999999998</v>
      </c>
      <c r="AC91" s="120">
        <v>0.75</v>
      </c>
      <c r="AD91" s="120">
        <v>0.1</v>
      </c>
    </row>
    <row r="92" spans="1:30" x14ac:dyDescent="0.25">
      <c r="A92" s="37" t="s">
        <v>131</v>
      </c>
      <c r="B92" s="19">
        <v>3</v>
      </c>
      <c r="C92" s="190"/>
      <c r="D92" s="118">
        <v>1</v>
      </c>
      <c r="E92">
        <v>0.5</v>
      </c>
      <c r="F92" s="118">
        <v>0</v>
      </c>
      <c r="G92" s="118">
        <v>0.5</v>
      </c>
      <c r="H92" s="119">
        <v>0</v>
      </c>
      <c r="I92" s="118">
        <v>0</v>
      </c>
      <c r="J92" s="118">
        <v>0.5</v>
      </c>
      <c r="K92" s="118">
        <v>0.5</v>
      </c>
      <c r="L92" s="118">
        <v>0</v>
      </c>
      <c r="M92" s="118">
        <v>0</v>
      </c>
      <c r="N92" s="118">
        <v>0</v>
      </c>
      <c r="O92" s="118">
        <v>0.5</v>
      </c>
      <c r="P92" s="118">
        <v>0.5</v>
      </c>
      <c r="Q92" s="118">
        <v>0</v>
      </c>
      <c r="R92" s="118">
        <v>0.5</v>
      </c>
      <c r="S92" s="118">
        <v>0</v>
      </c>
      <c r="T92" s="118">
        <v>0.5</v>
      </c>
      <c r="U92" s="118">
        <v>0</v>
      </c>
      <c r="V92" s="118">
        <v>1.5</v>
      </c>
      <c r="W92" s="118">
        <v>0.5</v>
      </c>
      <c r="X92" s="118">
        <v>0</v>
      </c>
      <c r="Y92" s="118">
        <v>0.5</v>
      </c>
      <c r="Z92" s="118">
        <v>0.5</v>
      </c>
      <c r="AA92" s="118">
        <v>0</v>
      </c>
      <c r="AB92" s="118">
        <v>0</v>
      </c>
      <c r="AC92" s="118">
        <v>0.5</v>
      </c>
      <c r="AD92" s="118">
        <v>1</v>
      </c>
    </row>
    <row r="93" spans="1:30" ht="15.75" thickBot="1" x14ac:dyDescent="0.3">
      <c r="A93" s="38" t="s">
        <v>51</v>
      </c>
      <c r="B93" s="20">
        <f>SUM(B89:B92)</f>
        <v>21</v>
      </c>
      <c r="C93" s="15"/>
      <c r="D93" s="12">
        <f t="shared" ref="D93:AD93" si="7">D$89*$B$89+D$90*$B$90+D$91*$B$91+D$92</f>
        <v>7.6499999999999995</v>
      </c>
      <c r="E93" s="12">
        <f t="shared" si="7"/>
        <v>6.75</v>
      </c>
      <c r="F93" s="12">
        <f t="shared" si="7"/>
        <v>6.35</v>
      </c>
      <c r="G93" s="12">
        <f t="shared" si="7"/>
        <v>7.3000000000000007</v>
      </c>
      <c r="H93" s="12">
        <f t="shared" si="7"/>
        <v>4.25</v>
      </c>
      <c r="I93" s="12">
        <f t="shared" si="7"/>
        <v>6.4</v>
      </c>
      <c r="J93" s="12">
        <f t="shared" si="7"/>
        <v>6.75</v>
      </c>
      <c r="K93" s="12">
        <f t="shared" si="7"/>
        <v>7.1099999999999994</v>
      </c>
      <c r="L93" s="12">
        <f t="shared" si="7"/>
        <v>5.76</v>
      </c>
      <c r="M93" s="12">
        <f t="shared" si="7"/>
        <v>5.8250000000000002</v>
      </c>
      <c r="N93" s="12">
        <f t="shared" si="7"/>
        <v>4.5</v>
      </c>
      <c r="O93" s="12">
        <f t="shared" si="7"/>
        <v>7.2</v>
      </c>
      <c r="P93" s="12">
        <f t="shared" si="7"/>
        <v>7</v>
      </c>
      <c r="Q93" s="12">
        <f t="shared" si="7"/>
        <v>5.6000000000000005</v>
      </c>
      <c r="R93" s="12">
        <f t="shared" si="7"/>
        <v>7.4</v>
      </c>
      <c r="S93" s="12">
        <f t="shared" si="7"/>
        <v>5.75</v>
      </c>
      <c r="T93" s="12">
        <f t="shared" si="7"/>
        <v>6.05</v>
      </c>
      <c r="U93" s="12">
        <f t="shared" si="7"/>
        <v>5.3000000000000007</v>
      </c>
      <c r="V93" s="12">
        <f t="shared" si="7"/>
        <v>8.4</v>
      </c>
      <c r="W93" s="12">
        <f t="shared" si="7"/>
        <v>6.3500000000000005</v>
      </c>
      <c r="X93" s="12">
        <f t="shared" si="7"/>
        <v>5.8</v>
      </c>
      <c r="Y93" s="12">
        <f t="shared" si="7"/>
        <v>6.9</v>
      </c>
      <c r="Z93" s="12">
        <f t="shared" si="7"/>
        <v>7.5</v>
      </c>
      <c r="AA93" s="12">
        <f t="shared" si="7"/>
        <v>5.9499999999999993</v>
      </c>
      <c r="AB93" s="12">
        <f t="shared" si="7"/>
        <v>3.625</v>
      </c>
      <c r="AC93" s="12">
        <f t="shared" si="7"/>
        <v>7.2</v>
      </c>
      <c r="AD93" s="12">
        <f t="shared" si="7"/>
        <v>7.1000000000000005</v>
      </c>
    </row>
    <row r="94" spans="1:30" ht="16.5" thickTop="1" thickBot="1" x14ac:dyDescent="0.3"/>
    <row r="95" spans="1:30" ht="16.5" thickTop="1" thickBot="1" x14ac:dyDescent="0.3">
      <c r="A95" s="182" t="s">
        <v>65</v>
      </c>
      <c r="B95" s="183"/>
      <c r="C95" s="183"/>
    </row>
    <row r="96" spans="1:30" ht="16.5" thickTop="1" thickBot="1" x14ac:dyDescent="0.3">
      <c r="A96" s="65" t="s">
        <v>130</v>
      </c>
      <c r="B96" s="17" t="s">
        <v>53</v>
      </c>
      <c r="C96" s="16" t="s">
        <v>75</v>
      </c>
      <c r="D96" t="s">
        <v>2</v>
      </c>
      <c r="E96" t="s">
        <v>60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63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</row>
    <row r="97" spans="1:30" ht="15.75" thickTop="1" x14ac:dyDescent="0.25">
      <c r="A97" s="36" t="s">
        <v>134</v>
      </c>
      <c r="B97" s="18">
        <v>6</v>
      </c>
      <c r="C97" s="184" t="s">
        <v>133</v>
      </c>
      <c r="D97" s="122">
        <v>0</v>
      </c>
      <c r="E97" s="122">
        <v>0</v>
      </c>
      <c r="F97" s="122">
        <v>0</v>
      </c>
      <c r="G97" s="122">
        <v>0</v>
      </c>
      <c r="H97" s="122">
        <v>0</v>
      </c>
      <c r="I97" s="122">
        <v>0</v>
      </c>
      <c r="J97" s="122">
        <v>0</v>
      </c>
      <c r="K97" s="122">
        <v>0</v>
      </c>
      <c r="L97" s="122">
        <v>0</v>
      </c>
      <c r="M97" s="122">
        <v>0</v>
      </c>
      <c r="N97" s="122">
        <v>0</v>
      </c>
      <c r="O97" s="122">
        <v>0</v>
      </c>
      <c r="P97" s="122">
        <v>0</v>
      </c>
      <c r="Q97" s="122">
        <v>0.8</v>
      </c>
      <c r="R97" s="122">
        <v>0</v>
      </c>
      <c r="S97" s="122">
        <v>0</v>
      </c>
      <c r="T97" s="122">
        <v>0.05</v>
      </c>
      <c r="U97" s="122">
        <v>0.5</v>
      </c>
      <c r="V97" s="122">
        <v>0</v>
      </c>
      <c r="W97" s="122">
        <v>0</v>
      </c>
      <c r="X97" s="122">
        <v>1</v>
      </c>
      <c r="Y97" s="122">
        <v>0</v>
      </c>
      <c r="Z97" s="122">
        <v>0</v>
      </c>
      <c r="AA97" s="122">
        <v>0.3</v>
      </c>
      <c r="AB97" s="122">
        <v>0</v>
      </c>
      <c r="AC97" s="122">
        <v>0.3</v>
      </c>
      <c r="AD97" s="122">
        <v>0</v>
      </c>
    </row>
    <row r="98" spans="1:30" x14ac:dyDescent="0.25">
      <c r="A98" s="37" t="s">
        <v>129</v>
      </c>
      <c r="B98" s="19">
        <v>8</v>
      </c>
      <c r="C98" s="185"/>
      <c r="D98" s="122">
        <v>0.25</v>
      </c>
      <c r="E98" s="122">
        <v>0</v>
      </c>
      <c r="F98" s="122">
        <v>0</v>
      </c>
      <c r="G98" s="122">
        <v>0.05</v>
      </c>
      <c r="H98" s="122">
        <v>0.3</v>
      </c>
      <c r="I98" s="122">
        <v>0.2</v>
      </c>
      <c r="J98" s="122">
        <v>0.25</v>
      </c>
      <c r="K98" s="122">
        <v>0.05</v>
      </c>
      <c r="L98" s="122">
        <v>0</v>
      </c>
      <c r="M98" s="122">
        <v>0.2</v>
      </c>
      <c r="N98" s="122">
        <v>0.5</v>
      </c>
      <c r="O98" s="122">
        <v>0</v>
      </c>
      <c r="P98" s="122">
        <v>0.2</v>
      </c>
      <c r="Q98" s="122">
        <v>1</v>
      </c>
      <c r="R98" s="122">
        <v>0</v>
      </c>
      <c r="S98" s="122">
        <v>0</v>
      </c>
      <c r="T98" s="122">
        <v>0</v>
      </c>
      <c r="U98" s="122">
        <v>0</v>
      </c>
      <c r="V98" s="122">
        <v>0</v>
      </c>
      <c r="W98" s="122">
        <v>0.4</v>
      </c>
      <c r="X98" s="122">
        <v>1</v>
      </c>
      <c r="Y98" s="122">
        <v>0.7</v>
      </c>
      <c r="Z98" s="122">
        <v>0</v>
      </c>
      <c r="AA98" s="122">
        <v>0.75</v>
      </c>
      <c r="AB98" s="122">
        <v>0</v>
      </c>
      <c r="AC98" s="122">
        <v>0.25</v>
      </c>
      <c r="AD98" s="122">
        <v>0.3</v>
      </c>
    </row>
    <row r="99" spans="1:30" x14ac:dyDescent="0.25">
      <c r="A99" s="116" t="s">
        <v>135</v>
      </c>
      <c r="B99" s="117">
        <v>10</v>
      </c>
      <c r="C99" s="185"/>
      <c r="D99" s="122">
        <v>0.81</v>
      </c>
      <c r="E99" s="122">
        <v>0.96</v>
      </c>
      <c r="F99" s="122">
        <v>0.9</v>
      </c>
      <c r="G99" s="122">
        <v>0.9</v>
      </c>
      <c r="H99" s="122">
        <v>0.32</v>
      </c>
      <c r="I99" s="122">
        <v>0.9</v>
      </c>
      <c r="J99" s="122">
        <v>0.91</v>
      </c>
      <c r="K99" s="122">
        <v>0.91</v>
      </c>
      <c r="L99" s="122">
        <v>0.9</v>
      </c>
      <c r="M99" s="122">
        <v>1</v>
      </c>
      <c r="N99" s="122">
        <v>0.6</v>
      </c>
      <c r="O99" s="122">
        <v>0.92</v>
      </c>
      <c r="P99" s="122">
        <v>0.8</v>
      </c>
      <c r="Q99" s="122">
        <v>1</v>
      </c>
      <c r="R99" s="122">
        <v>0.9</v>
      </c>
      <c r="S99" s="122">
        <v>0</v>
      </c>
      <c r="T99" s="122">
        <v>0.9</v>
      </c>
      <c r="U99" s="122">
        <v>0</v>
      </c>
      <c r="V99" s="122">
        <v>0.7</v>
      </c>
      <c r="W99" s="122">
        <v>0.96</v>
      </c>
      <c r="X99" s="122">
        <v>0.5</v>
      </c>
      <c r="Y99" s="122">
        <v>0.9</v>
      </c>
      <c r="Z99" s="122">
        <v>0.9</v>
      </c>
      <c r="AA99" s="122">
        <v>0.8</v>
      </c>
      <c r="AB99" s="122">
        <v>0.2</v>
      </c>
      <c r="AC99" s="122">
        <v>0.9</v>
      </c>
      <c r="AD99" s="122">
        <v>1</v>
      </c>
    </row>
    <row r="100" spans="1:30" ht="15.75" thickBot="1" x14ac:dyDescent="0.3">
      <c r="A100" s="38" t="s">
        <v>51</v>
      </c>
      <c r="B100" s="20">
        <f>SUM(B97:B99)</f>
        <v>24</v>
      </c>
      <c r="C100" s="15"/>
      <c r="D100" s="12">
        <f>D$97*D$89*$B$97+D$98*D$90*$B$98+D$99*D$91*$B$99</f>
        <v>6.17</v>
      </c>
      <c r="E100" s="12">
        <f>E$97*E$89*$B$97+E$98*E$90*$B$98+E$99*E$91*$B$99</f>
        <v>4.8</v>
      </c>
      <c r="F100" s="12">
        <f>F$97*F$89*$B$97+F$98*F$90*$B$98+F$99*F$91*$B$99</f>
        <v>4.5</v>
      </c>
      <c r="G100" s="12">
        <f>G$97*G$89*$B$97+G$98*G$90*$B$98+G$99*G$91*$B$99</f>
        <v>7.2800000000000011</v>
      </c>
      <c r="H100" s="123">
        <f>H$97*H$89*$B$97+H$98*H$90*$B$98+H$99*2*H$91*$B$99</f>
        <v>2.96</v>
      </c>
      <c r="I100" s="12">
        <f>I$97*I$89*$B$97+I$98*I$90*$B$98+I$99*I$91*$B$99</f>
        <v>5.1400000000000006</v>
      </c>
      <c r="J100" s="12">
        <f>J$97*J$89*$B$97+J$98*J$90*$B$98+J$99*J$91*$B$99</f>
        <v>5.05</v>
      </c>
      <c r="K100" s="12">
        <f>K$97*K$89*$B$97+K$98*K$90*$B$98+K$99*K$91*$B$99</f>
        <v>6.4539999999999997</v>
      </c>
      <c r="L100" s="123">
        <v>1</v>
      </c>
      <c r="M100" s="12">
        <f>M$97*M$89*$B$97+M$98*M$90*$B$98+M$99*M$91*$B$99</f>
        <v>1.4900000000000002</v>
      </c>
      <c r="N100" s="123">
        <f>N$97*N$89*$B$97+N$98*N$90*$B$98+N$99*2*N$91*$B$99</f>
        <v>5.1999999999999993</v>
      </c>
      <c r="O100" s="12">
        <f>O$97*O$89*$B$97+O$98*O$90*$B$98+O$99*O$91*$B$99</f>
        <v>6.9</v>
      </c>
      <c r="P100" s="12">
        <f>P$97*P$89*$B$97+P$98*P$90*$B$98+P$99*P$91*$B$99</f>
        <v>4.8</v>
      </c>
      <c r="Q100" s="12">
        <f>Q$97*Q$89*$B$97+Q$98*Q$90*$B$98+Q$99*Q$91*$B$99</f>
        <v>6.6000000000000005</v>
      </c>
      <c r="R100" s="12">
        <f>R$97*R$89*$B$97+R$98*R$90*$B$98+R$99*R$91*$B$99</f>
        <v>8.1000000000000014</v>
      </c>
      <c r="S100" s="123">
        <v>1</v>
      </c>
      <c r="T100" s="12">
        <f>T$97*T$89*$B$97+T$98*T$90*$B$98+T$99*T$91*$B$99</f>
        <v>2.46</v>
      </c>
      <c r="U100" s="123">
        <v>1</v>
      </c>
      <c r="V100" s="12">
        <f t="shared" ref="V100:AA100" si="8">V$97*V$89*$B$97+V$98*V$90*$B$98+V$99*V$91*$B$99</f>
        <v>6.3</v>
      </c>
      <c r="W100" s="12">
        <f t="shared" si="8"/>
        <v>3.2</v>
      </c>
      <c r="X100" s="12">
        <f t="shared" si="8"/>
        <v>6.8999999999999995</v>
      </c>
      <c r="Y100" s="12">
        <f t="shared" si="8"/>
        <v>6.5200000000000005</v>
      </c>
      <c r="Z100" s="12">
        <f t="shared" si="8"/>
        <v>9</v>
      </c>
      <c r="AA100" s="12">
        <f t="shared" si="8"/>
        <v>5.129999999999999</v>
      </c>
      <c r="AB100" s="123">
        <f>AB$97*AB$89*$B$97+AB$98*AB$90*$B$98+AB$99*2*AB$91*$B$99</f>
        <v>1.9</v>
      </c>
      <c r="AC100" s="12">
        <f>AC$97*AC$89*$B$97+AC$98*AC$90*$B$98+AC$99*AC$91*$B$99</f>
        <v>7.24</v>
      </c>
      <c r="AD100" s="12">
        <f>AD$97*AD$89*$B$97+AD$98*AD$90*$B$98+AD$99*AD$91*$B$99</f>
        <v>3.16</v>
      </c>
    </row>
  </sheetData>
  <mergeCells count="112">
    <mergeCell ref="A95:C95"/>
    <mergeCell ref="C97:C99"/>
    <mergeCell ref="A79:C79"/>
    <mergeCell ref="A87:C87"/>
    <mergeCell ref="C89:C92"/>
    <mergeCell ref="H51:H53"/>
    <mergeCell ref="Z51:Z54"/>
    <mergeCell ref="A41:C41"/>
    <mergeCell ref="C43:C49"/>
    <mergeCell ref="I71:I72"/>
    <mergeCell ref="F61:F63"/>
    <mergeCell ref="P64:P70"/>
    <mergeCell ref="P71:P72"/>
    <mergeCell ref="J64:J70"/>
    <mergeCell ref="K64:K70"/>
    <mergeCell ref="L64:L70"/>
    <mergeCell ref="O61:O63"/>
    <mergeCell ref="O64:O70"/>
    <mergeCell ref="O71:O72"/>
    <mergeCell ref="N61:N63"/>
    <mergeCell ref="N64:N70"/>
    <mergeCell ref="N71:N72"/>
    <mergeCell ref="M61:M63"/>
    <mergeCell ref="M71:M72"/>
    <mergeCell ref="Z56:Z58"/>
    <mergeCell ref="B29:C29"/>
    <mergeCell ref="A52:C52"/>
    <mergeCell ref="B30:C30"/>
    <mergeCell ref="B31:C31"/>
    <mergeCell ref="A53:C58"/>
    <mergeCell ref="F71:F72"/>
    <mergeCell ref="G61:G63"/>
    <mergeCell ref="G71:G72"/>
    <mergeCell ref="D61:D63"/>
    <mergeCell ref="D71:D72"/>
    <mergeCell ref="E71:E72"/>
    <mergeCell ref="E61:E63"/>
    <mergeCell ref="I64:I70"/>
    <mergeCell ref="D64:D70"/>
    <mergeCell ref="E64:E70"/>
    <mergeCell ref="F64:F70"/>
    <mergeCell ref="G64:G70"/>
    <mergeCell ref="H64:H70"/>
    <mergeCell ref="H61:H63"/>
    <mergeCell ref="H71:H72"/>
    <mergeCell ref="I61:I63"/>
    <mergeCell ref="M64:M70"/>
    <mergeCell ref="L71:L72"/>
    <mergeCell ref="A1:B1"/>
    <mergeCell ref="A3:C3"/>
    <mergeCell ref="B32:C32"/>
    <mergeCell ref="A33:C33"/>
    <mergeCell ref="A71:A72"/>
    <mergeCell ref="B71:B72"/>
    <mergeCell ref="C71:C72"/>
    <mergeCell ref="A64:A70"/>
    <mergeCell ref="B64:B70"/>
    <mergeCell ref="C64:C70"/>
    <mergeCell ref="A61:A63"/>
    <mergeCell ref="B61:B63"/>
    <mergeCell ref="C61:C63"/>
    <mergeCell ref="A21:C21"/>
    <mergeCell ref="A27:C27"/>
    <mergeCell ref="B28:C28"/>
    <mergeCell ref="J61:J63"/>
    <mergeCell ref="J71:J72"/>
    <mergeCell ref="K71:K72"/>
    <mergeCell ref="L61:L63"/>
    <mergeCell ref="K61:K63"/>
    <mergeCell ref="P61:P63"/>
    <mergeCell ref="T64:T70"/>
    <mergeCell ref="T71:T72"/>
    <mergeCell ref="T61:T63"/>
    <mergeCell ref="S61:S63"/>
    <mergeCell ref="S64:S70"/>
    <mergeCell ref="S71:S72"/>
    <mergeCell ref="R64:R70"/>
    <mergeCell ref="R71:R72"/>
    <mergeCell ref="Q61:Q63"/>
    <mergeCell ref="Q64:Q70"/>
    <mergeCell ref="Q71:Q72"/>
    <mergeCell ref="R61:R63"/>
    <mergeCell ref="W64:W70"/>
    <mergeCell ref="W71:W72"/>
    <mergeCell ref="V61:V63"/>
    <mergeCell ref="V64:V70"/>
    <mergeCell ref="V71:V72"/>
    <mergeCell ref="U64:U70"/>
    <mergeCell ref="U71:U72"/>
    <mergeCell ref="U61:U63"/>
    <mergeCell ref="X61:X63"/>
    <mergeCell ref="X64:X70"/>
    <mergeCell ref="X71:X72"/>
    <mergeCell ref="W61:W63"/>
    <mergeCell ref="AD61:AD63"/>
    <mergeCell ref="AD64:AD70"/>
    <mergeCell ref="AD71:AD72"/>
    <mergeCell ref="AB71:AB72"/>
    <mergeCell ref="AC61:AC63"/>
    <mergeCell ref="AC64:AC70"/>
    <mergeCell ref="AC71:AC72"/>
    <mergeCell ref="AB61:AB63"/>
    <mergeCell ref="AB64:AB70"/>
    <mergeCell ref="AA61:AA63"/>
    <mergeCell ref="AA64:AA70"/>
    <mergeCell ref="AA71:AA72"/>
    <mergeCell ref="Z61:Z63"/>
    <mergeCell ref="Z64:Z70"/>
    <mergeCell ref="Z71:Z72"/>
    <mergeCell ref="Y61:Y63"/>
    <mergeCell ref="Y64:Y70"/>
    <mergeCell ref="Y71:Y72"/>
  </mergeCells>
  <phoneticPr fontId="12" type="noConversion"/>
  <pageMargins left="0.7" right="0.7" top="0.25" bottom="0.25" header="0.3" footer="0.3"/>
  <pageSetup paperSize="8" scale="51" fitToWidth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4</vt:i4>
      </vt:variant>
    </vt:vector>
  </HeadingPairs>
  <TitlesOfParts>
    <vt:vector size="4" baseType="lpstr">
      <vt:lpstr>Ocjene</vt:lpstr>
      <vt:lpstr>Normalizirane vrijednosti</vt:lpstr>
      <vt:lpstr>Faktor korisničkog iskustva</vt:lpstr>
      <vt:lpstr>Pomoćni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Bartulin</dc:creator>
  <cp:lastModifiedBy>Andrej Bartulin</cp:lastModifiedBy>
  <cp:lastPrinted>2025-03-21T14:40:01Z</cp:lastPrinted>
  <dcterms:created xsi:type="dcterms:W3CDTF">2025-02-21T19:57:32Z</dcterms:created>
  <dcterms:modified xsi:type="dcterms:W3CDTF">2025-03-21T14:40:03Z</dcterms:modified>
</cp:coreProperties>
</file>