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Политех\Аспирандура\Modelica assotiation\LEPSE\Theory\"/>
    </mc:Choice>
  </mc:AlternateContent>
  <xr:revisionPtr revIDLastSave="0" documentId="13_ncr:1_{9FEE18C3-A506-4351-8B3C-0793158B4F58}" xr6:coauthVersionLast="45" xr6:coauthVersionMax="45" xr10:uidLastSave="{00000000-0000-0000-0000-000000000000}"/>
  <bookViews>
    <workbookView xWindow="-120" yWindow="-120" windowWidth="29040" windowHeight="15840" xr2:uid="{3D04EDAE-E825-4F68-B8F2-B0DBD047F69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2" i="1" l="1"/>
  <c r="O22" i="1"/>
  <c r="G22" i="1" l="1"/>
  <c r="E10" i="1" l="1"/>
  <c r="E8" i="1"/>
  <c r="B30" i="1"/>
  <c r="A30" i="1"/>
  <c r="E22" i="1" l="1"/>
  <c r="K22" i="1"/>
  <c r="F24" i="1" s="1"/>
  <c r="I22" i="1"/>
  <c r="F22" i="1"/>
  <c r="F16" i="1"/>
  <c r="E16" i="1"/>
  <c r="F14" i="1"/>
  <c r="E14" i="1"/>
  <c r="D8" i="1"/>
  <c r="C8" i="1"/>
  <c r="C10" i="1" s="1"/>
  <c r="H22" i="1"/>
  <c r="J22" i="1"/>
  <c r="G24" i="1" l="1"/>
  <c r="J24" i="1" s="1"/>
  <c r="H24" i="1"/>
  <c r="L22" i="1" s="1"/>
  <c r="D10" i="1"/>
  <c r="I24" i="1" l="1"/>
  <c r="N22" i="1" l="1"/>
  <c r="M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</author>
  </authors>
  <commentList>
    <comment ref="A1" authorId="0" shapeId="0" xr:uid="{8E10B228-837D-4396-9129-2778CBC1B7E3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Basic power</t>
        </r>
      </text>
    </comment>
    <comment ref="B1" authorId="0" shapeId="0" xr:uid="{720C5E62-5984-4C28-9063-F9A55BF0F598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Basic phase-to-phase voltage</t>
        </r>
      </text>
    </comment>
    <comment ref="A5" authorId="0" shapeId="0" xr:uid="{5BAD04A8-9CFC-4336-9CD8-5B52C2E2CD48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nominal phase-to-phase line voltage</t>
        </r>
      </text>
    </comment>
    <comment ref="B5" authorId="0" shapeId="0" xr:uid="{164C69E8-6B36-45AC-98FB-FE046F0BB735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nominal wire cross-section</t>
        </r>
      </text>
    </comment>
    <comment ref="C5" authorId="0" shapeId="0" xr:uid="{7F9DCEC8-9E4C-4E0C-8A62-102B4CF4C3B8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linear active line resistance
</t>
        </r>
      </text>
    </comment>
    <comment ref="D5" authorId="0" shapeId="0" xr:uid="{750CD24A-7EF3-4A2D-B036-5E4CA9614B79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linear active line resistance
</t>
        </r>
      </text>
    </comment>
    <comment ref="E5" authorId="0" shapeId="0" xr:uid="{DE6147E1-895C-47F6-9C96-74B9C2D5B51E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linear line capacitive conductivity
</t>
        </r>
      </text>
    </comment>
    <comment ref="F5" authorId="0" shapeId="0" xr:uid="{FDC03F53-8CFB-49B0-936D-ACBE5144DB11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line length</t>
        </r>
      </text>
    </comment>
    <comment ref="G5" authorId="0" shapeId="0" xr:uid="{CAD16A02-71CA-4948-ADE1-90FCF076CCA8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number of lines</t>
        </r>
      </text>
    </comment>
    <comment ref="A7" authorId="0" shapeId="0" xr:uid="{F7544E87-8B4A-4554-AC3E-16DBDA98616D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taken from the scale of average nominal voltage</t>
        </r>
      </text>
    </comment>
    <comment ref="C7" authorId="0" shapeId="0" xr:uid="{E5691C51-BA9E-4DFB-B0E1-0C4942786D9F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active line resistance</t>
        </r>
      </text>
    </comment>
    <comment ref="D7" authorId="0" shapeId="0" xr:uid="{8253666A-DB7A-4D78-A331-5AF66981FFC8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reactive line resistance</t>
        </r>
      </text>
    </comment>
    <comment ref="E7" authorId="0" shapeId="0" xr:uid="{ECD9E7FC-B06A-47AC-8CF5-57AAF7F81A8C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line capacitive conductivity</t>
        </r>
      </text>
    </comment>
    <comment ref="C9" authorId="0" shapeId="0" xr:uid="{AB03F31D-DCFE-4FF8-8FF2-55B9C1E33C33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active line resistance</t>
        </r>
      </text>
    </comment>
    <comment ref="D9" authorId="0" shapeId="0" xr:uid="{49AF8567-199E-4626-8D5B-BF28C85C08DE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reactive line resistance</t>
        </r>
      </text>
    </comment>
    <comment ref="E9" authorId="0" shapeId="0" xr:uid="{E3635A64-18D9-4550-B8AD-86096D224ADA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one half of line capacitive conductivity</t>
        </r>
      </text>
    </comment>
    <comment ref="A13" authorId="0" shapeId="0" xr:uid="{75EB1118-02CC-4B2A-9B79-AF3D878B581B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Nominal transformer power
</t>
        </r>
      </text>
    </comment>
    <comment ref="B13" authorId="0" shapeId="0" xr:uid="{BD8B7A63-CDD1-426B-98F4-9A762547FDCB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short circuit voltage</t>
        </r>
      </text>
    </comment>
    <comment ref="C13" authorId="0" shapeId="0" xr:uid="{AACB9883-D1A5-40BB-A610-250AC6ECBA28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loss of active power in case of short circuit</t>
        </r>
      </text>
    </comment>
    <comment ref="D13" authorId="0" shapeId="0" xr:uid="{118C2DC8-1F11-470B-AA4A-B2EE55A45C6C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nominal voltage of the high side of the transformer</t>
        </r>
      </text>
    </comment>
    <comment ref="E13" authorId="0" shapeId="0" xr:uid="{5A72986F-B7D2-4102-A7F9-282D976B8A16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active transformer resistance</t>
        </r>
      </text>
    </comment>
    <comment ref="F13" authorId="0" shapeId="0" xr:uid="{16773BC1-E9B2-432D-909C-2633515B99B8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reactive transformer resistance</t>
        </r>
      </text>
    </comment>
    <comment ref="G13" authorId="0" shapeId="0" xr:uid="{1EBEFA74-CF3A-4AA4-A675-0D20B8DC9859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number of transformers</t>
        </r>
      </text>
    </comment>
    <comment ref="E15" authorId="0" shapeId="0" xr:uid="{22E106C0-74FD-4CC1-8F42-FFD6BF452EB4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active transformer resistance</t>
        </r>
      </text>
    </comment>
    <comment ref="F15" authorId="0" shapeId="0" xr:uid="{FCAA14C8-4C7E-4336-9C1D-3AA5F8B83E08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reactive transformer resistance</t>
        </r>
      </text>
    </comment>
    <comment ref="A19" authorId="0" shapeId="0" xr:uid="{27688B8F-2180-4160-9BFA-25D66C550DBF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Nominal generator power
</t>
        </r>
      </text>
    </comment>
    <comment ref="B19" authorId="0" shapeId="0" xr:uid="{9AE71312-FA04-439E-933F-D60AF08EAC38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Nominal generator voltage
</t>
        </r>
      </text>
    </comment>
    <comment ref="C19" authorId="0" shapeId="0" xr:uid="{6DB1DBAB-E4A6-4194-B59B-F28B46571EAA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nominal power factor</t>
        </r>
      </text>
    </comment>
    <comment ref="D19" authorId="0" shapeId="0" xr:uid="{3B5EB162-734E-4670-8566-EAA4C1367F26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rotor speed</t>
        </r>
      </text>
    </comment>
    <comment ref="E19" authorId="0" shapeId="0" xr:uid="{592E39E5-F468-4496-9E2A-521465C615D8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moment of inertia</t>
        </r>
      </text>
    </comment>
    <comment ref="F19" authorId="0" shapeId="0" xr:uid="{2D398421-D879-49C8-BF82-3319A3EEF74F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d-axis synchronous reactance</t>
        </r>
      </text>
    </comment>
    <comment ref="G19" authorId="0" shapeId="0" xr:uid="{F9F0508D-F353-4F1E-BBDF-90170F010019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q-axis synchronous reactance</t>
        </r>
      </text>
    </comment>
    <comment ref="H19" authorId="0" shapeId="0" xr:uid="{0C096F7F-50FC-4037-ACBB-1DDE3BDD2276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d-axis transient reactance</t>
        </r>
      </text>
    </comment>
    <comment ref="I19" authorId="0" shapeId="0" xr:uid="{67ECC3F8-C7CC-438B-A1A5-3365E09B7AC6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d-axis subtransient reactance</t>
        </r>
      </text>
    </comment>
    <comment ref="J19" authorId="0" shapeId="0" xr:uid="{6FC1E9AE-36AA-4C58-802F-AB6DB21BB454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q-axis subtransient reactance</t>
        </r>
      </text>
    </comment>
    <comment ref="K19" authorId="0" shapeId="0" xr:uid="{C8E9BE24-6FA2-4727-8736-673DA3AC9C6F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leakage reactance</t>
        </r>
      </text>
    </comment>
    <comment ref="L19" authorId="0" shapeId="0" xr:uid="{AF1356B6-8E23-48D6-8903-A1BADDD8BCAE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d-axis transient time constant when the stator winding is open</t>
        </r>
      </text>
    </comment>
    <comment ref="M19" authorId="0" shapeId="0" xr:uid="{5AC8FD37-B6EC-4386-A7C9-D5E654532740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d-axis subtransient time constant when the stator winding is closed</t>
        </r>
      </text>
    </comment>
    <comment ref="N19" authorId="0" shapeId="0" xr:uid="{05D65D86-1B2A-4C0D-827F-1BDC46B554BA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q-axis subtransient time constant when the stator winding is closed</t>
        </r>
      </text>
    </comment>
    <comment ref="O19" authorId="0" shapeId="0" xr:uid="{D81D0492-FE80-4071-8AF4-DABFD293EFBA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actual generation of active power</t>
        </r>
      </text>
    </comment>
    <comment ref="P19" authorId="0" shapeId="0" xr:uid="{7E5F2BA0-5247-4DA7-8B33-FC51FB1F2B02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actual generation of reactive power</t>
        </r>
      </text>
    </comment>
    <comment ref="Q19" authorId="0" shapeId="0" xr:uid="{0753F8DA-A91A-442B-A524-3D0AC132CF68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number of generators
</t>
        </r>
      </text>
    </comment>
    <comment ref="E21" authorId="0" shapeId="0" xr:uid="{5D60C49C-1620-4177-9EDE-11C554A3C8DC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inertia coefficient</t>
        </r>
      </text>
    </comment>
    <comment ref="F21" authorId="0" shapeId="0" xr:uid="{E3A6E625-DC89-47FD-A618-5A50001A9074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d-axis synchronous reactance</t>
        </r>
      </text>
    </comment>
    <comment ref="G21" authorId="0" shapeId="0" xr:uid="{3453ABFC-1B43-40B5-B394-EA9EE8B41C85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q-axis synchronous reactance</t>
        </r>
      </text>
    </comment>
    <comment ref="H21" authorId="0" shapeId="0" xr:uid="{C16B2835-840A-4B81-B608-6EF03327B8FA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d-axis transient reactance</t>
        </r>
      </text>
    </comment>
    <comment ref="I21" authorId="0" shapeId="0" xr:uid="{65E2DD6D-B3A2-498B-B0FC-0FAFCAA8B453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d-axis subtransient reactance</t>
        </r>
      </text>
    </comment>
    <comment ref="J21" authorId="0" shapeId="0" xr:uid="{77488028-F606-4D25-8DC7-278066301933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q-axis subtransient reactance</t>
        </r>
      </text>
    </comment>
    <comment ref="K21" authorId="0" shapeId="0" xr:uid="{1123AEF4-CD37-487D-A9B1-AA51E4B84060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leakage reactance</t>
        </r>
      </text>
    </comment>
    <comment ref="L21" authorId="0" shapeId="0" xr:uid="{ECE86D2C-3747-4249-BA89-E66768DDFC94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active resistance of field winding</t>
        </r>
      </text>
    </comment>
    <comment ref="M21" authorId="0" shapeId="0" xr:uid="{ADFCA5F4-21F0-4A4C-9D83-D4AB7ED48809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active resistance of d-axis damper winding</t>
        </r>
      </text>
    </comment>
    <comment ref="N21" authorId="0" shapeId="0" xr:uid="{8494656D-6270-4E01-A758-C809E3DDB2FA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active resistance of q-axis damper winding</t>
        </r>
      </text>
    </comment>
    <comment ref="O21" authorId="0" shapeId="0" xr:uid="{765C4A32-CFAF-4FE5-BA11-D85053A56539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actual generation of active power</t>
        </r>
      </text>
    </comment>
    <comment ref="P21" authorId="0" shapeId="0" xr:uid="{C1E41A70-1D18-4160-AF42-647DFE098714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actual generation of reactive power</t>
        </r>
      </text>
    </comment>
    <comment ref="A27" authorId="0" shapeId="0" xr:uid="{C9DF74DF-F0FE-4D54-A77B-F8F45C1C80F8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active load of consumer</t>
        </r>
      </text>
    </comment>
    <comment ref="B27" authorId="0" shapeId="0" xr:uid="{4FC4694F-3306-4638-8B92-6AEBD7340381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reactive load of consumer</t>
        </r>
      </text>
    </comment>
    <comment ref="C27" authorId="0" shapeId="0" xr:uid="{CE39C0B3-C36B-4D4D-9527-27F09F109559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number of consumers</t>
        </r>
      </text>
    </comment>
    <comment ref="A29" authorId="0" shapeId="0" xr:uid="{20BA0BF3-1701-46DE-82F8-8B796EB37FE1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active conductivity</t>
        </r>
      </text>
    </comment>
    <comment ref="B29" authorId="0" shapeId="0" xr:uid="{FD745943-D8E7-4AB1-B23F-BAAE1659A048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reactive conductivity</t>
        </r>
      </text>
    </comment>
  </commentList>
</comments>
</file>

<file path=xl/sharedStrings.xml><?xml version="1.0" encoding="utf-8"?>
<sst xmlns="http://schemas.openxmlformats.org/spreadsheetml/2006/main" count="69" uniqueCount="65">
  <si>
    <t>Sbas, MVA</t>
  </si>
  <si>
    <t>Ubas, kV</t>
  </si>
  <si>
    <t>1. Power lines</t>
  </si>
  <si>
    <t>r0, Om/100 km</t>
  </si>
  <si>
    <t>x0, 
Om/100 km</t>
  </si>
  <si>
    <t>300/39</t>
  </si>
  <si>
    <t>R, Om</t>
  </si>
  <si>
    <t>l, km</t>
  </si>
  <si>
    <t>X, Om</t>
  </si>
  <si>
    <t>B, 10-6 Sm</t>
  </si>
  <si>
    <r>
      <t>b0, 
10</t>
    </r>
    <r>
      <rPr>
        <b/>
        <vertAlign val="superscript"/>
        <sz val="11"/>
        <color theme="1"/>
        <rFont val="Calibri"/>
        <family val="2"/>
        <charset val="204"/>
        <scheme val="minor"/>
      </rPr>
      <t>-6</t>
    </r>
    <r>
      <rPr>
        <b/>
        <sz val="11"/>
        <color theme="1"/>
        <rFont val="Calibri"/>
        <family val="2"/>
        <charset val="204"/>
        <scheme val="minor"/>
      </rPr>
      <t xml:space="preserve"> Sm/km</t>
    </r>
  </si>
  <si>
    <t>Rline, pub</t>
  </si>
  <si>
    <t>Bline1 
(Bline2), pub</t>
  </si>
  <si>
    <t>Xline, pub</t>
  </si>
  <si>
    <t>2. Transformers</t>
  </si>
  <si>
    <t>Average 
nominal voltage, kV</t>
  </si>
  <si>
    <t>Snom, MVA</t>
  </si>
  <si>
    <t>Usc, %</t>
  </si>
  <si>
    <t>ΔPsc, kW</t>
  </si>
  <si>
    <t>Unom, kV</t>
  </si>
  <si>
    <t>Rt, Om</t>
  </si>
  <si>
    <t>Xt, Om</t>
  </si>
  <si>
    <t>3. Synchronous machine</t>
  </si>
  <si>
    <t>Pnom, MW</t>
  </si>
  <si>
    <t>Ug nom, kV</t>
  </si>
  <si>
    <t>xd, pu</t>
  </si>
  <si>
    <t>cosφ nom, 
pu</t>
  </si>
  <si>
    <r>
      <t>J, t*m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</si>
  <si>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t>xq, pu</t>
  </si>
  <si>
    <t>x'd, pu</t>
  </si>
  <si>
    <t>x''d, pu</t>
  </si>
  <si>
    <t>x''q, pu</t>
  </si>
  <si>
    <t>xs, pu</t>
  </si>
  <si>
    <t>Tj_p</t>
  </si>
  <si>
    <t>xd_p, pub</t>
  </si>
  <si>
    <t>xq_p, pub</t>
  </si>
  <si>
    <t>x'd_p, pub</t>
  </si>
  <si>
    <t>x''d_p, pub</t>
  </si>
  <si>
    <t>x''q_p, pub</t>
  </si>
  <si>
    <t>xs_p, pub</t>
  </si>
  <si>
    <t>rf_p, pub</t>
  </si>
  <si>
    <t>r1d_p, pub</t>
  </si>
  <si>
    <t>r1q_p, pub</t>
  </si>
  <si>
    <t>Td0, s</t>
  </si>
  <si>
    <t>T''d, s</t>
  </si>
  <si>
    <t>T''q, s</t>
  </si>
  <si>
    <t>ngen, p</t>
  </si>
  <si>
    <t>n, rev/min</t>
  </si>
  <si>
    <t>nl, p</t>
  </si>
  <si>
    <t>xad</t>
  </si>
  <si>
    <t>xaq</t>
  </si>
  <si>
    <t>xsr</t>
  </si>
  <si>
    <t>xsrd</t>
  </si>
  <si>
    <t>xsrq</t>
  </si>
  <si>
    <t>4. Load</t>
  </si>
  <si>
    <t>Pn, MW</t>
  </si>
  <si>
    <t>Bn, pub</t>
  </si>
  <si>
    <t>Gn, pub</t>
  </si>
  <si>
    <t>Qn, MVAr</t>
  </si>
  <si>
    <t>nt, p</t>
  </si>
  <si>
    <r>
      <t>S, mm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</si>
  <si>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t>Pg, MW</t>
  </si>
  <si>
    <t>Pg, pub</t>
  </si>
  <si>
    <t>Qg, pub</t>
  </si>
  <si>
    <t>Qg, MVAr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</si>
</sst>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C18B-2DEE-424C-8D07-B4001C1A18FA}">
  <dimension ref="A1:Q30"/>
  <sheetViews>
    <sheetView tabSelected="1" workbookViewId="0">
      <selection activeCell="H9" sqref="H9"/>
    </sheetView>
  </sheetViews>
  <sheetFormatPr defaultRowHeight="15" x14ac:dyDescent="0.25"/>
  <cols>
    <col min="1" max="1" width="14.85546875" bestFit="1" customWidth="1"/>
    <col min="2" max="2" width="10.28515625" customWidth="1"/>
    <col min="3" max="4" width="10" bestFit="1" customWidth="1"/>
    <col min="5" max="5" width="12.42578125" bestFit="1" customWidth="1"/>
    <col min="6" max="6" width="9.7109375" bestFit="1" customWidth="1"/>
    <col min="7" max="7" width="10.28515625" bestFit="1" customWidth="1"/>
    <col min="8" max="10" width="10.85546875" bestFit="1" customWidth="1"/>
    <col min="11" max="11" width="9.42578125" bestFit="1" customWidth="1"/>
    <col min="12" max="12" width="9" bestFit="1" customWidth="1"/>
    <col min="13" max="14" width="10.42578125" bestFit="1" customWidth="1"/>
    <col min="15" max="15" width="7.5703125" bestFit="1" customWidth="1"/>
    <col min="16" max="16" width="10.28515625" bestFit="1" customWidth="1"/>
  </cols>
  <sheetData>
    <row r="1" spans="1:7" x14ac:dyDescent="0.25">
      <c r="A1" s="2" t="s">
        <v>0</v>
      </c>
      <c r="B1" s="2" t="s">
        <v>1</v>
      </c>
    </row>
    <row r="2" spans="1:7" x14ac:dyDescent="0.25">
      <c r="A2" s="1">
        <v>1000</v>
      </c>
      <c r="B2" s="1">
        <v>340</v>
      </c>
    </row>
    <row r="4" spans="1:7" x14ac:dyDescent="0.25">
      <c r="A4" s="3" t="s">
        <v>2</v>
      </c>
      <c r="B4" s="3"/>
    </row>
    <row r="5" spans="1:7" ht="45" x14ac:dyDescent="0.25">
      <c r="A5" s="4" t="s">
        <v>19</v>
      </c>
      <c r="B5" s="4" t="s">
        <v>60</v>
      </c>
      <c r="C5" s="4" t="s">
        <v>3</v>
      </c>
      <c r="D5" s="4" t="s">
        <v>4</v>
      </c>
      <c r="E5" s="4" t="s">
        <v>10</v>
      </c>
      <c r="F5" s="2" t="s">
        <v>7</v>
      </c>
      <c r="G5" s="14" t="s">
        <v>48</v>
      </c>
    </row>
    <row r="6" spans="1:7" x14ac:dyDescent="0.25">
      <c r="A6" s="1">
        <v>330</v>
      </c>
      <c r="B6" s="1" t="s">
        <v>5</v>
      </c>
      <c r="C6" s="1">
        <v>4.8</v>
      </c>
      <c r="D6" s="1">
        <v>32.799999999999997</v>
      </c>
      <c r="E6" s="1">
        <v>341</v>
      </c>
      <c r="F6" s="1">
        <v>50</v>
      </c>
      <c r="G6" s="1">
        <v>2</v>
      </c>
    </row>
    <row r="7" spans="1:7" ht="45" x14ac:dyDescent="0.25">
      <c r="A7" s="4" t="s">
        <v>15</v>
      </c>
      <c r="B7" s="5"/>
      <c r="C7" s="2" t="s">
        <v>6</v>
      </c>
      <c r="D7" s="2" t="s">
        <v>8</v>
      </c>
      <c r="E7" s="2" t="s">
        <v>9</v>
      </c>
      <c r="F7" s="5"/>
      <c r="G7" s="5"/>
    </row>
    <row r="8" spans="1:7" x14ac:dyDescent="0.25">
      <c r="A8" s="6">
        <v>340</v>
      </c>
      <c r="B8" s="5"/>
      <c r="C8" s="1">
        <f>$F$6*C6/100/G6</f>
        <v>1.2</v>
      </c>
      <c r="D8" s="1">
        <f>$F$6*D6/100/G6</f>
        <v>8.1999999999999993</v>
      </c>
      <c r="E8" s="1">
        <f>$F$6*E6/100*G6</f>
        <v>341</v>
      </c>
      <c r="F8" s="5"/>
      <c r="G8" s="5"/>
    </row>
    <row r="9" spans="1:7" ht="30" x14ac:dyDescent="0.25">
      <c r="A9" s="6"/>
      <c r="B9" s="6"/>
      <c r="C9" s="2" t="s">
        <v>11</v>
      </c>
      <c r="D9" s="2" t="s">
        <v>13</v>
      </c>
      <c r="E9" s="4" t="s">
        <v>12</v>
      </c>
      <c r="F9" s="6"/>
      <c r="G9" s="5"/>
    </row>
    <row r="10" spans="1:7" x14ac:dyDescent="0.25">
      <c r="A10" s="1"/>
      <c r="B10" s="1"/>
      <c r="C10" s="8">
        <f>C8*$A$2/$A$8^(2)</f>
        <v>1.0380622837370242E-2</v>
      </c>
      <c r="D10" s="8">
        <f>D8*$A$2/$A$8^(2)</f>
        <v>7.0934256055363326E-2</v>
      </c>
      <c r="E10" s="8">
        <f>E8*$A$8^(2)/$A$2*10^(-6)/2</f>
        <v>1.97098E-2</v>
      </c>
      <c r="F10" s="1"/>
      <c r="G10" s="5"/>
    </row>
    <row r="12" spans="1:7" x14ac:dyDescent="0.25">
      <c r="A12" s="3" t="s">
        <v>14</v>
      </c>
    </row>
    <row r="13" spans="1:7" x14ac:dyDescent="0.25">
      <c r="A13" s="2" t="s">
        <v>16</v>
      </c>
      <c r="B13" s="2" t="s">
        <v>17</v>
      </c>
      <c r="C13" s="2" t="s">
        <v>18</v>
      </c>
      <c r="D13" s="2" t="s">
        <v>19</v>
      </c>
      <c r="E13" s="2" t="s">
        <v>6</v>
      </c>
      <c r="F13" s="2" t="s">
        <v>8</v>
      </c>
      <c r="G13" s="11" t="s">
        <v>59</v>
      </c>
    </row>
    <row r="14" spans="1:7" x14ac:dyDescent="0.25">
      <c r="A14" s="1">
        <v>200</v>
      </c>
      <c r="B14" s="1">
        <v>11</v>
      </c>
      <c r="C14" s="1">
        <v>560</v>
      </c>
      <c r="D14" s="1">
        <v>347</v>
      </c>
      <c r="E14" s="9">
        <f>$C$14*$D$14^(2)/$A$14^(2)/1000/G14</f>
        <v>0.84286300000000003</v>
      </c>
      <c r="F14" s="9">
        <f>$B$14/100*$D$14^(2)/$A$14/G14</f>
        <v>33.112474999999996</v>
      </c>
      <c r="G14" s="1">
        <v>2</v>
      </c>
    </row>
    <row r="15" spans="1:7" x14ac:dyDescent="0.25">
      <c r="A15" s="5"/>
      <c r="B15" s="5"/>
      <c r="C15" s="5"/>
      <c r="D15" s="5"/>
      <c r="E15" s="10" t="s">
        <v>20</v>
      </c>
      <c r="F15" s="10" t="s">
        <v>21</v>
      </c>
      <c r="G15" s="5"/>
    </row>
    <row r="16" spans="1:7" x14ac:dyDescent="0.25">
      <c r="A16" s="5"/>
      <c r="B16" s="5"/>
      <c r="C16" s="5"/>
      <c r="D16" s="5"/>
      <c r="E16" s="7">
        <f>C14/1000*A2/A14^(2)/G14</f>
        <v>7.0000000000000001E-3</v>
      </c>
      <c r="F16" s="7">
        <f>B14/100*A2/A14/G14</f>
        <v>0.27500000000000002</v>
      </c>
      <c r="G16" s="5"/>
    </row>
    <row r="18" spans="1:17" x14ac:dyDescent="0.25">
      <c r="A18" s="3" t="s">
        <v>22</v>
      </c>
    </row>
    <row r="19" spans="1:17" ht="45" x14ac:dyDescent="0.25">
      <c r="A19" s="2" t="s">
        <v>23</v>
      </c>
      <c r="B19" s="2" t="s">
        <v>24</v>
      </c>
      <c r="C19" s="4" t="s">
        <v>26</v>
      </c>
      <c r="D19" s="2" t="s">
        <v>47</v>
      </c>
      <c r="E19" s="2" t="s">
        <v>27</v>
      </c>
      <c r="F19" s="2" t="s">
        <v>25</v>
      </c>
      <c r="G19" s="2" t="s">
        <v>28</v>
      </c>
      <c r="H19" s="2" t="s">
        <v>29</v>
      </c>
      <c r="I19" s="2" t="s">
        <v>30</v>
      </c>
      <c r="J19" s="2" t="s">
        <v>31</v>
      </c>
      <c r="K19" s="2" t="s">
        <v>32</v>
      </c>
      <c r="L19" s="2" t="s">
        <v>43</v>
      </c>
      <c r="M19" s="2" t="s">
        <v>44</v>
      </c>
      <c r="N19" s="2" t="s">
        <v>45</v>
      </c>
      <c r="O19" s="2" t="s">
        <v>61</v>
      </c>
      <c r="P19" s="2" t="s">
        <v>64</v>
      </c>
      <c r="Q19" s="11" t="s">
        <v>46</v>
      </c>
    </row>
    <row r="20" spans="1:17" x14ac:dyDescent="0.25">
      <c r="A20" s="6">
        <v>200</v>
      </c>
      <c r="B20" s="6">
        <v>15.75</v>
      </c>
      <c r="C20" s="6">
        <v>0.85</v>
      </c>
      <c r="D20" s="13">
        <v>3000</v>
      </c>
      <c r="E20" s="6">
        <v>6.25</v>
      </c>
      <c r="F20" s="6">
        <v>1.84</v>
      </c>
      <c r="G20" s="6">
        <v>1.84</v>
      </c>
      <c r="H20" s="6">
        <v>0.29499999999999998</v>
      </c>
      <c r="I20" s="6">
        <v>0.19</v>
      </c>
      <c r="J20" s="6">
        <v>0.19</v>
      </c>
      <c r="K20" s="6">
        <v>0.16500000000000001</v>
      </c>
      <c r="L20" s="1">
        <v>6.9</v>
      </c>
      <c r="M20" s="1">
        <v>0.14000000000000001</v>
      </c>
      <c r="N20" s="1">
        <v>0.5</v>
      </c>
      <c r="O20" s="1">
        <v>190</v>
      </c>
      <c r="P20" s="1">
        <v>60</v>
      </c>
      <c r="Q20" s="12">
        <v>2</v>
      </c>
    </row>
    <row r="21" spans="1:17" x14ac:dyDescent="0.25">
      <c r="A21" s="5"/>
      <c r="B21" s="5"/>
      <c r="C21" s="5"/>
      <c r="D21" s="5"/>
      <c r="E21" s="2" t="s">
        <v>33</v>
      </c>
      <c r="F21" s="2" t="s">
        <v>34</v>
      </c>
      <c r="G21" s="2" t="s">
        <v>35</v>
      </c>
      <c r="H21" s="2" t="s">
        <v>36</v>
      </c>
      <c r="I21" s="2" t="s">
        <v>37</v>
      </c>
      <c r="J21" s="2" t="s">
        <v>38</v>
      </c>
      <c r="K21" s="2" t="s">
        <v>39</v>
      </c>
      <c r="L21" s="2" t="s">
        <v>40</v>
      </c>
      <c r="M21" s="2" t="s">
        <v>41</v>
      </c>
      <c r="N21" s="15" t="s">
        <v>42</v>
      </c>
      <c r="O21" s="2" t="s">
        <v>62</v>
      </c>
      <c r="P21" s="2" t="s">
        <v>63</v>
      </c>
      <c r="Q21" s="5"/>
    </row>
    <row r="22" spans="1:17" x14ac:dyDescent="0.25">
      <c r="A22" s="5"/>
      <c r="B22" s="5"/>
      <c r="C22" s="5"/>
      <c r="D22" s="5"/>
      <c r="E22" s="1">
        <f>4*10.96*E20*D20^(2)*10^(-6)/A2*Q20</f>
        <v>4.9320000000000004</v>
      </c>
      <c r="F22" s="1">
        <f>F20*$A$2*$C$20/($A$20*$Q$20)</f>
        <v>3.91</v>
      </c>
      <c r="G22" s="1">
        <f>G20*$A$2*$C$20/($A$20*$Q$20)</f>
        <v>3.91</v>
      </c>
      <c r="H22" s="1">
        <f>H20*$A$2*$C$20/($A$20*$Q$20)</f>
        <v>0.62687499999999996</v>
      </c>
      <c r="I22" s="1">
        <f>I20*$A$2*$C$20/($A$20*$Q$20)</f>
        <v>0.40375</v>
      </c>
      <c r="J22" s="1">
        <f>J20*$A$2*$C$20/($A$20*$Q$20)</f>
        <v>0.40375</v>
      </c>
      <c r="K22" s="1">
        <f>K20*$A$2*$C$20/($A$20*$Q$20)</f>
        <v>0.35062500000000002</v>
      </c>
      <c r="L22" s="1">
        <f>(H24+F24)/(100*3.14*L20)</f>
        <v>1.7810714190757775E-3</v>
      </c>
      <c r="M22" s="1">
        <f>(I24+(1/((1/F24)+(1/H24)+(1/K22))))/(100*3.14*M20)</f>
        <v>5.0110673655190232E-3</v>
      </c>
      <c r="N22" s="16">
        <f>(I24+(1/((1/G24)+(1/H24))))/(100*3.14*N20)</f>
        <v>2.1784956020624805E-3</v>
      </c>
      <c r="O22" s="1">
        <f>O20*Q20/A2</f>
        <v>0.38</v>
      </c>
      <c r="P22" s="1">
        <f>P20*Q20/A2</f>
        <v>0.12</v>
      </c>
      <c r="Q22" s="5"/>
    </row>
    <row r="23" spans="1:17" x14ac:dyDescent="0.25">
      <c r="A23" s="5"/>
      <c r="B23" s="5"/>
      <c r="C23" s="5"/>
      <c r="D23" s="5"/>
      <c r="E23" s="5"/>
      <c r="F23" s="10" t="s">
        <v>49</v>
      </c>
      <c r="G23" s="10" t="s">
        <v>50</v>
      </c>
      <c r="H23" s="10" t="s">
        <v>51</v>
      </c>
      <c r="I23" s="10" t="s">
        <v>52</v>
      </c>
      <c r="J23" s="10" t="s">
        <v>53</v>
      </c>
      <c r="K23" s="5"/>
      <c r="L23" s="5"/>
      <c r="M23" s="5"/>
      <c r="N23" s="5"/>
      <c r="O23" s="1"/>
      <c r="P23" s="1"/>
      <c r="Q23" s="5"/>
    </row>
    <row r="24" spans="1:17" x14ac:dyDescent="0.25">
      <c r="A24" s="5"/>
      <c r="B24" s="5"/>
      <c r="C24" s="5"/>
      <c r="D24" s="5"/>
      <c r="E24" s="5"/>
      <c r="F24" s="5">
        <f>F22-K22</f>
        <v>3.5593750000000002</v>
      </c>
      <c r="G24" s="5">
        <f>G22-K22</f>
        <v>3.5593750000000002</v>
      </c>
      <c r="H24" s="5">
        <f>1/((1/(H22-K22))-(1/F24))</f>
        <v>0.29949433656957919</v>
      </c>
      <c r="I24" s="5">
        <f>1/((1/(I22-K22))-(1/F24)-(1/H24))</f>
        <v>6.5773809523809498E-2</v>
      </c>
      <c r="J24" s="5">
        <f>1/((1/(J22-K22))-(1/G24))</f>
        <v>5.3929924242424224E-2</v>
      </c>
      <c r="K24" s="5"/>
      <c r="L24" s="5"/>
      <c r="M24" s="5"/>
      <c r="N24" s="5"/>
      <c r="O24" s="5"/>
      <c r="P24" s="5"/>
      <c r="Q24" s="5"/>
    </row>
    <row r="26" spans="1:17" x14ac:dyDescent="0.25">
      <c r="A26" s="3" t="s">
        <v>54</v>
      </c>
    </row>
    <row r="27" spans="1:17" x14ac:dyDescent="0.25">
      <c r="A27" s="2" t="s">
        <v>55</v>
      </c>
      <c r="B27" s="2" t="s">
        <v>58</v>
      </c>
      <c r="C27" s="2" t="s">
        <v>48</v>
      </c>
    </row>
    <row r="28" spans="1:17" x14ac:dyDescent="0.25">
      <c r="A28" s="1">
        <v>30</v>
      </c>
      <c r="B28" s="1">
        <v>5</v>
      </c>
      <c r="C28" s="1">
        <v>2</v>
      </c>
    </row>
    <row r="29" spans="1:17" x14ac:dyDescent="0.25">
      <c r="A29" s="2" t="s">
        <v>57</v>
      </c>
      <c r="B29" s="2" t="s">
        <v>56</v>
      </c>
      <c r="C29" s="1"/>
    </row>
    <row r="30" spans="1:17" x14ac:dyDescent="0.25">
      <c r="A30" s="1">
        <f>A28*$C$28/$A$2</f>
        <v>0.06</v>
      </c>
      <c r="B30" s="1">
        <f>-B28*$C$28/$A$2</f>
        <v>-0.01</v>
      </c>
      <c r="C30" s="1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2025-09-21T09:18:22Z</dcterms:created>
  <dcterms:modified xsi:type="dcterms:W3CDTF">2025-09-21T12:11:29Z</dcterms:modified>
</cp:coreProperties>
</file>