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RO\Desktop\"/>
    </mc:Choice>
  </mc:AlternateContent>
  <bookViews>
    <workbookView xWindow="0" yWindow="0" windowWidth="20490" windowHeight="7620" activeTab="7"/>
  </bookViews>
  <sheets>
    <sheet name="Inventario" sheetId="10" r:id="rId1"/>
    <sheet name="Compras2020" sheetId="1" r:id="rId2"/>
    <sheet name="Ventas2020" sheetId="2" r:id="rId3"/>
    <sheet name="Analisis" sheetId="11" r:id="rId4"/>
    <sheet name="Tendencia Diaria" sheetId="9" r:id="rId5"/>
    <sheet name="Tendencia Semanal" sheetId="7" r:id="rId6"/>
    <sheet name="Drytec Bond Plus" sheetId="8" r:id="rId7"/>
    <sheet name="Sistema de Apartado" sheetId="6" r:id="rId8"/>
  </sheets>
  <definedNames>
    <definedName name="_xlnm._FilterDatabase" localSheetId="1" hidden="1">Compras2020!$A$1:$O$896</definedName>
    <definedName name="_xlnm._FilterDatabase" localSheetId="2" hidden="1">Ventas2020!$A$1:$N$3830</definedName>
    <definedName name="_xlcn.WorksheetConnection_ComercialCoronado.xlsxVentas" hidden="1">Ventas[]</definedName>
    <definedName name="_xlcn.WorksheetConnection_ComercialCoronado.xlsxVentas2" hidden="1">Ventas2[]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WorksheetConnection_Comercial Coronado.xlsx!Ventas"/>
          <x15:modelTable id="Ventas2" name="Ventas2" connection="WorksheetConnection_Comercial Coronado.xlsx!Ventas2"/>
        </x15:modelTables>
        <x15:extLst>
          <ext xmlns:x16="http://schemas.microsoft.com/office/spreadsheetml/2014/11/main" uri="{9835A34E-60A6-4A7C-AAB8-D5F71C897F49}">
            <x16:modelTimeGroupings>
              <x16:modelTimeGrouping tableName="Ventas2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M4258" i="2" l="1"/>
  <c r="M4260" i="2"/>
  <c r="M4262" i="2"/>
  <c r="M4263" i="2"/>
  <c r="M4264" i="2"/>
  <c r="M4266" i="2"/>
  <c r="M4267" i="2"/>
  <c r="M4268" i="2"/>
  <c r="M4269" i="2"/>
  <c r="M4270" i="2"/>
  <c r="G4368" i="2"/>
  <c r="G4367" i="2"/>
  <c r="G4364" i="2"/>
  <c r="C4385" i="2"/>
  <c r="D4385" i="2"/>
  <c r="F4385" i="2"/>
  <c r="I4385" i="2"/>
  <c r="J4385" i="2"/>
  <c r="C4384" i="2"/>
  <c r="D4384" i="2"/>
  <c r="F4384" i="2"/>
  <c r="I4384" i="2"/>
  <c r="J4384" i="2"/>
  <c r="K4384" i="2"/>
  <c r="C4383" i="2"/>
  <c r="D4383" i="2"/>
  <c r="F4383" i="2"/>
  <c r="I4383" i="2"/>
  <c r="J4383" i="2"/>
  <c r="K4383" i="2"/>
  <c r="M4383" i="2" s="1"/>
  <c r="C4382" i="2"/>
  <c r="D4382" i="2"/>
  <c r="F4382" i="2"/>
  <c r="I4382" i="2"/>
  <c r="J4382" i="2"/>
  <c r="K4382" i="2"/>
  <c r="M4382" i="2" s="1"/>
  <c r="C4381" i="2"/>
  <c r="D4381" i="2"/>
  <c r="F4381" i="2"/>
  <c r="I4381" i="2"/>
  <c r="J4381" i="2"/>
  <c r="K4381" i="2"/>
  <c r="M4381" i="2" s="1"/>
  <c r="F191" i="10"/>
  <c r="G191" i="10"/>
  <c r="H191" i="10" s="1"/>
  <c r="C4380" i="2"/>
  <c r="D4380" i="2"/>
  <c r="F4380" i="2"/>
  <c r="I4380" i="2"/>
  <c r="J4380" i="2"/>
  <c r="K4380" i="2"/>
  <c r="M4380" i="2" s="1"/>
  <c r="C4379" i="2"/>
  <c r="D4379" i="2"/>
  <c r="F4379" i="2"/>
  <c r="I4379" i="2"/>
  <c r="J4379" i="2"/>
  <c r="K4379" i="2"/>
  <c r="M4379" i="2" s="1"/>
  <c r="C4378" i="2"/>
  <c r="D4378" i="2"/>
  <c r="F4378" i="2"/>
  <c r="I4378" i="2"/>
  <c r="J4378" i="2"/>
  <c r="K4378" i="2"/>
  <c r="M4378" i="2" s="1"/>
  <c r="C4377" i="2"/>
  <c r="D4377" i="2"/>
  <c r="F4377" i="2"/>
  <c r="I4377" i="2"/>
  <c r="J4377" i="2"/>
  <c r="C4376" i="2"/>
  <c r="D4376" i="2"/>
  <c r="F4376" i="2"/>
  <c r="I4376" i="2"/>
  <c r="J4376" i="2"/>
  <c r="K4376" i="2"/>
  <c r="M4376" i="2" s="1"/>
  <c r="C4375" i="2"/>
  <c r="D4375" i="2"/>
  <c r="F4375" i="2"/>
  <c r="I4375" i="2"/>
  <c r="J4375" i="2"/>
  <c r="K4375" i="2"/>
  <c r="M4375" i="2" s="1"/>
  <c r="C4374" i="2"/>
  <c r="D4374" i="2"/>
  <c r="F4374" i="2"/>
  <c r="I4374" i="2"/>
  <c r="J4374" i="2"/>
  <c r="K4374" i="2"/>
  <c r="M4374" i="2" s="1"/>
  <c r="C4373" i="2"/>
  <c r="D4373" i="2"/>
  <c r="F4373" i="2"/>
  <c r="I4373" i="2"/>
  <c r="J4373" i="2"/>
  <c r="C4372" i="2"/>
  <c r="D4372" i="2"/>
  <c r="F4372" i="2"/>
  <c r="I4372" i="2"/>
  <c r="J4372" i="2"/>
  <c r="K4372" i="2"/>
  <c r="M4372" i="2" s="1"/>
  <c r="C4371" i="2"/>
  <c r="D4371" i="2"/>
  <c r="F4371" i="2"/>
  <c r="I4371" i="2"/>
  <c r="J4371" i="2"/>
  <c r="K4371" i="2"/>
  <c r="M4371" i="2" s="1"/>
  <c r="C4370" i="2"/>
  <c r="D4370" i="2"/>
  <c r="F4370" i="2"/>
  <c r="I4370" i="2"/>
  <c r="J4370" i="2"/>
  <c r="K4370" i="2"/>
  <c r="M4370" i="2" s="1"/>
  <c r="C4369" i="2"/>
  <c r="D4369" i="2"/>
  <c r="F4369" i="2"/>
  <c r="I4369" i="2"/>
  <c r="J4369" i="2"/>
  <c r="C4368" i="2"/>
  <c r="D4368" i="2"/>
  <c r="F4368" i="2"/>
  <c r="I4368" i="2"/>
  <c r="J4368" i="2"/>
  <c r="K4368" i="2"/>
  <c r="M4368" i="2" s="1"/>
  <c r="C4367" i="2"/>
  <c r="D4367" i="2"/>
  <c r="F4367" i="2"/>
  <c r="I4367" i="2"/>
  <c r="J4367" i="2"/>
  <c r="C4366" i="2"/>
  <c r="D4366" i="2"/>
  <c r="F4366" i="2"/>
  <c r="I4366" i="2"/>
  <c r="J4366" i="2"/>
  <c r="K4366" i="2"/>
  <c r="M4366" i="2" s="1"/>
  <c r="C4365" i="2"/>
  <c r="D4365" i="2"/>
  <c r="F4365" i="2"/>
  <c r="I4365" i="2"/>
  <c r="J4365" i="2"/>
  <c r="K4365" i="2"/>
  <c r="M4365" i="2" s="1"/>
  <c r="C4364" i="2"/>
  <c r="D4364" i="2"/>
  <c r="F4364" i="2"/>
  <c r="I4364" i="2"/>
  <c r="J4364" i="2"/>
  <c r="K4364" i="2"/>
  <c r="M4364" i="2" s="1"/>
  <c r="C4363" i="2"/>
  <c r="D4363" i="2"/>
  <c r="F4363" i="2"/>
  <c r="I4363" i="2"/>
  <c r="J4363" i="2"/>
  <c r="G4349" i="2"/>
  <c r="G4347" i="2"/>
  <c r="G4342" i="2"/>
  <c r="C4362" i="2"/>
  <c r="D4362" i="2"/>
  <c r="F4362" i="2"/>
  <c r="I4362" i="2"/>
  <c r="J4362" i="2"/>
  <c r="C4361" i="2"/>
  <c r="D4361" i="2"/>
  <c r="F4361" i="2"/>
  <c r="I4361" i="2"/>
  <c r="J4361" i="2"/>
  <c r="K4361" i="2"/>
  <c r="M4361" i="2" s="1"/>
  <c r="C4360" i="2"/>
  <c r="D4360" i="2"/>
  <c r="F4360" i="2"/>
  <c r="I4360" i="2"/>
  <c r="J4360" i="2"/>
  <c r="K4360" i="2"/>
  <c r="M4360" i="2" s="1"/>
  <c r="C4359" i="2"/>
  <c r="D4359" i="2"/>
  <c r="F4359" i="2"/>
  <c r="I4359" i="2"/>
  <c r="J4359" i="2"/>
  <c r="C4358" i="2"/>
  <c r="D4358" i="2"/>
  <c r="F4358" i="2"/>
  <c r="I4358" i="2"/>
  <c r="J4358" i="2"/>
  <c r="K4358" i="2"/>
  <c r="M4358" i="2" s="1"/>
  <c r="C4357" i="2"/>
  <c r="D4357" i="2"/>
  <c r="F4357" i="2"/>
  <c r="I4357" i="2"/>
  <c r="J4357" i="2"/>
  <c r="K4357" i="2"/>
  <c r="M4357" i="2" s="1"/>
  <c r="C4356" i="2"/>
  <c r="D4356" i="2"/>
  <c r="F4356" i="2"/>
  <c r="I4356" i="2"/>
  <c r="J4356" i="2"/>
  <c r="C4355" i="2"/>
  <c r="D4355" i="2"/>
  <c r="F4355" i="2"/>
  <c r="I4355" i="2"/>
  <c r="J4355" i="2"/>
  <c r="C4354" i="2"/>
  <c r="D4354" i="2"/>
  <c r="F4354" i="2"/>
  <c r="I4354" i="2"/>
  <c r="J4354" i="2"/>
  <c r="K4354" i="2"/>
  <c r="M4354" i="2" s="1"/>
  <c r="C4353" i="2"/>
  <c r="D4353" i="2"/>
  <c r="F4353" i="2"/>
  <c r="I4353" i="2"/>
  <c r="J4353" i="2"/>
  <c r="K4353" i="2"/>
  <c r="M4353" i="2" s="1"/>
  <c r="C4352" i="2"/>
  <c r="D4352" i="2"/>
  <c r="F4352" i="2"/>
  <c r="I4352" i="2"/>
  <c r="J4352" i="2"/>
  <c r="K4352" i="2"/>
  <c r="M4352" i="2" s="1"/>
  <c r="C4351" i="2"/>
  <c r="D4351" i="2"/>
  <c r="F4351" i="2"/>
  <c r="I4351" i="2"/>
  <c r="J4351" i="2"/>
  <c r="C4350" i="2"/>
  <c r="D4350" i="2"/>
  <c r="F4350" i="2"/>
  <c r="I4350" i="2"/>
  <c r="J4350" i="2"/>
  <c r="C4349" i="2"/>
  <c r="D4349" i="2"/>
  <c r="F4349" i="2"/>
  <c r="I4349" i="2"/>
  <c r="K4349" i="2"/>
  <c r="M4349" i="2" s="1"/>
  <c r="C4348" i="2"/>
  <c r="D4348" i="2"/>
  <c r="F4348" i="2"/>
  <c r="I4348" i="2"/>
  <c r="J4348" i="2"/>
  <c r="C4347" i="2"/>
  <c r="D4347" i="2"/>
  <c r="F4347" i="2"/>
  <c r="I4347" i="2"/>
  <c r="J4347" i="2"/>
  <c r="C4346" i="2"/>
  <c r="D4346" i="2"/>
  <c r="F4346" i="2"/>
  <c r="I4346" i="2"/>
  <c r="J4346" i="2"/>
  <c r="C4345" i="2"/>
  <c r="D4345" i="2"/>
  <c r="F4345" i="2"/>
  <c r="I4345" i="2"/>
  <c r="J4345" i="2"/>
  <c r="C4344" i="2"/>
  <c r="D4344" i="2"/>
  <c r="F4344" i="2"/>
  <c r="I4344" i="2"/>
  <c r="J4344" i="2"/>
  <c r="K4344" i="2"/>
  <c r="M4344" i="2" s="1"/>
  <c r="F102" i="10"/>
  <c r="G102" i="10"/>
  <c r="C4343" i="2"/>
  <c r="D4343" i="2"/>
  <c r="F4343" i="2"/>
  <c r="I4343" i="2"/>
  <c r="J4343" i="2"/>
  <c r="K4343" i="2"/>
  <c r="M4343" i="2" s="1"/>
  <c r="N4343" i="2" s="1"/>
  <c r="F27" i="10"/>
  <c r="G27" i="10"/>
  <c r="C4342" i="2"/>
  <c r="D4342" i="2"/>
  <c r="F4342" i="2"/>
  <c r="I4342" i="2"/>
  <c r="J4342" i="2"/>
  <c r="K4342" i="2"/>
  <c r="M4342" i="2" s="1"/>
  <c r="C4341" i="2"/>
  <c r="D4341" i="2"/>
  <c r="F4341" i="2"/>
  <c r="I4341" i="2"/>
  <c r="J4341" i="2"/>
  <c r="C4340" i="2"/>
  <c r="D4340" i="2"/>
  <c r="F4340" i="2"/>
  <c r="I4340" i="2"/>
  <c r="J4340" i="2"/>
  <c r="C4339" i="2"/>
  <c r="D4339" i="2"/>
  <c r="F4339" i="2"/>
  <c r="I4339" i="2"/>
  <c r="J4339" i="2"/>
  <c r="K4339" i="2"/>
  <c r="M4339" i="2" s="1"/>
  <c r="C4338" i="2"/>
  <c r="D4338" i="2"/>
  <c r="F4338" i="2"/>
  <c r="I4338" i="2"/>
  <c r="J4338" i="2"/>
  <c r="F44" i="10"/>
  <c r="G44" i="10"/>
  <c r="C4337" i="2"/>
  <c r="D4337" i="2"/>
  <c r="F4337" i="2"/>
  <c r="I4337" i="2"/>
  <c r="J4337" i="2"/>
  <c r="K4337" i="2"/>
  <c r="M4337" i="2" s="1"/>
  <c r="C4336" i="2"/>
  <c r="D4336" i="2"/>
  <c r="F4336" i="2"/>
  <c r="I4336" i="2"/>
  <c r="J4336" i="2"/>
  <c r="K4336" i="2"/>
  <c r="M4336" i="2" s="1"/>
  <c r="C4335" i="2"/>
  <c r="D4335" i="2"/>
  <c r="F4335" i="2"/>
  <c r="I4335" i="2"/>
  <c r="J4335" i="2"/>
  <c r="C4334" i="2"/>
  <c r="D4334" i="2"/>
  <c r="F4334" i="2"/>
  <c r="I4334" i="2"/>
  <c r="J4334" i="2"/>
  <c r="K4334" i="2"/>
  <c r="M4334" i="2" s="1"/>
  <c r="C4333" i="2"/>
  <c r="D4333" i="2"/>
  <c r="F4333" i="2"/>
  <c r="I4333" i="2"/>
  <c r="J4333" i="2"/>
  <c r="C4332" i="2"/>
  <c r="D4332" i="2"/>
  <c r="F4332" i="2"/>
  <c r="I4332" i="2"/>
  <c r="J4332" i="2"/>
  <c r="F13" i="10"/>
  <c r="G13" i="10"/>
  <c r="C4331" i="2"/>
  <c r="D4331" i="2"/>
  <c r="F4331" i="2"/>
  <c r="I4331" i="2"/>
  <c r="J4331" i="2"/>
  <c r="K4331" i="2"/>
  <c r="M4331" i="2" s="1"/>
  <c r="C4330" i="2"/>
  <c r="D4330" i="2"/>
  <c r="F4330" i="2"/>
  <c r="I4330" i="2"/>
  <c r="J4330" i="2"/>
  <c r="K4330" i="2"/>
  <c r="M4330" i="2" s="1"/>
  <c r="C4329" i="2"/>
  <c r="D4329" i="2"/>
  <c r="F4329" i="2"/>
  <c r="I4329" i="2"/>
  <c r="J4329" i="2"/>
  <c r="K4329" i="2"/>
  <c r="M4329" i="2" s="1"/>
  <c r="C4328" i="2"/>
  <c r="D4328" i="2"/>
  <c r="F4328" i="2"/>
  <c r="I4328" i="2"/>
  <c r="J4328" i="2"/>
  <c r="C4327" i="2"/>
  <c r="D4327" i="2"/>
  <c r="F4327" i="2"/>
  <c r="I4327" i="2"/>
  <c r="J4327" i="2"/>
  <c r="C4326" i="2"/>
  <c r="D4326" i="2"/>
  <c r="F4326" i="2"/>
  <c r="I4326" i="2"/>
  <c r="J4326" i="2"/>
  <c r="K4326" i="2"/>
  <c r="M4326" i="2" s="1"/>
  <c r="C4325" i="2"/>
  <c r="D4325" i="2"/>
  <c r="F4325" i="2"/>
  <c r="I4325" i="2"/>
  <c r="J4325" i="2"/>
  <c r="C4324" i="2"/>
  <c r="D4324" i="2"/>
  <c r="F4324" i="2"/>
  <c r="I4324" i="2"/>
  <c r="J4324" i="2"/>
  <c r="K4324" i="2"/>
  <c r="M4324" i="2" s="1"/>
  <c r="C4323" i="2"/>
  <c r="D4323" i="2"/>
  <c r="F4323" i="2"/>
  <c r="I4323" i="2"/>
  <c r="J4323" i="2"/>
  <c r="K4323" i="2"/>
  <c r="M4323" i="2" s="1"/>
  <c r="C4322" i="2"/>
  <c r="D4322" i="2"/>
  <c r="F4322" i="2"/>
  <c r="I4322" i="2"/>
  <c r="K4322" i="2"/>
  <c r="M4322" i="2" s="1"/>
  <c r="C4321" i="2"/>
  <c r="D4321" i="2"/>
  <c r="F4321" i="2"/>
  <c r="I4321" i="2"/>
  <c r="J4321" i="2"/>
  <c r="K4321" i="2"/>
  <c r="M4321" i="2" s="1"/>
  <c r="C4320" i="2"/>
  <c r="D4320" i="2"/>
  <c r="F4320" i="2"/>
  <c r="I4320" i="2"/>
  <c r="J4320" i="2"/>
  <c r="C4319" i="2"/>
  <c r="D4319" i="2"/>
  <c r="F4319" i="2"/>
  <c r="I4319" i="2"/>
  <c r="J4319" i="2"/>
  <c r="C4318" i="2"/>
  <c r="D4318" i="2"/>
  <c r="F4318" i="2"/>
  <c r="I4318" i="2"/>
  <c r="J4318" i="2"/>
  <c r="C4317" i="2"/>
  <c r="D4317" i="2"/>
  <c r="F4317" i="2"/>
  <c r="I4317" i="2"/>
  <c r="J4317" i="2"/>
  <c r="C4316" i="2"/>
  <c r="D4316" i="2"/>
  <c r="F4316" i="2"/>
  <c r="I4316" i="2"/>
  <c r="J4316" i="2"/>
  <c r="K4316" i="2"/>
  <c r="M4316" i="2" s="1"/>
  <c r="C4315" i="2"/>
  <c r="D4315" i="2"/>
  <c r="F4315" i="2"/>
  <c r="I4315" i="2"/>
  <c r="J4315" i="2"/>
  <c r="K4315" i="2"/>
  <c r="M4315" i="2" s="1"/>
  <c r="C4314" i="2"/>
  <c r="D4314" i="2"/>
  <c r="F4314" i="2"/>
  <c r="I4314" i="2"/>
  <c r="J4314" i="2"/>
  <c r="C4313" i="2"/>
  <c r="D4313" i="2"/>
  <c r="F4313" i="2"/>
  <c r="I4313" i="2"/>
  <c r="J4313" i="2"/>
  <c r="K4313" i="2"/>
  <c r="M4313" i="2" s="1"/>
  <c r="C4312" i="2"/>
  <c r="D4312" i="2"/>
  <c r="F4312" i="2"/>
  <c r="I4312" i="2"/>
  <c r="J4312" i="2"/>
  <c r="G4296" i="2"/>
  <c r="C4311" i="2"/>
  <c r="D4311" i="2"/>
  <c r="F4311" i="2"/>
  <c r="I4311" i="2"/>
  <c r="J4311" i="2"/>
  <c r="K4311" i="2"/>
  <c r="M4311" i="2" s="1"/>
  <c r="C4310" i="2"/>
  <c r="D4310" i="2"/>
  <c r="F4310" i="2"/>
  <c r="I4310" i="2"/>
  <c r="K4310" i="2"/>
  <c r="M4310" i="2" s="1"/>
  <c r="C4309" i="2"/>
  <c r="D4309" i="2"/>
  <c r="F4309" i="2"/>
  <c r="I4309" i="2"/>
  <c r="J4309" i="2"/>
  <c r="C4308" i="2"/>
  <c r="D4308" i="2"/>
  <c r="F4308" i="2"/>
  <c r="I4308" i="2"/>
  <c r="J4308" i="2"/>
  <c r="K4308" i="2"/>
  <c r="M4308" i="2" s="1"/>
  <c r="C4307" i="2"/>
  <c r="D4307" i="2"/>
  <c r="F4307" i="2"/>
  <c r="I4307" i="2"/>
  <c r="J4307" i="2"/>
  <c r="C4306" i="2"/>
  <c r="D4306" i="2"/>
  <c r="F4306" i="2"/>
  <c r="I4306" i="2"/>
  <c r="J4306" i="2"/>
  <c r="K4306" i="2"/>
  <c r="M4306" i="2" s="1"/>
  <c r="C4305" i="2"/>
  <c r="D4305" i="2"/>
  <c r="F4305" i="2"/>
  <c r="I4305" i="2"/>
  <c r="J4305" i="2"/>
  <c r="K4305" i="2"/>
  <c r="M4305" i="2" s="1"/>
  <c r="C4304" i="2"/>
  <c r="D4304" i="2"/>
  <c r="F4304" i="2"/>
  <c r="I4304" i="2"/>
  <c r="J4304" i="2"/>
  <c r="C4303" i="2"/>
  <c r="D4303" i="2"/>
  <c r="F4303" i="2"/>
  <c r="I4303" i="2"/>
  <c r="J4303" i="2"/>
  <c r="K4303" i="2"/>
  <c r="C4302" i="2"/>
  <c r="D4302" i="2"/>
  <c r="F4302" i="2"/>
  <c r="I4302" i="2"/>
  <c r="J4302" i="2"/>
  <c r="C4301" i="2"/>
  <c r="D4301" i="2"/>
  <c r="F4301" i="2"/>
  <c r="I4301" i="2"/>
  <c r="J4301" i="2"/>
  <c r="K4301" i="2"/>
  <c r="C4300" i="2"/>
  <c r="D4300" i="2"/>
  <c r="F4300" i="2"/>
  <c r="I4300" i="2"/>
  <c r="J4300" i="2"/>
  <c r="C4299" i="2"/>
  <c r="D4299" i="2"/>
  <c r="F4299" i="2"/>
  <c r="I4299" i="2"/>
  <c r="J4299" i="2"/>
  <c r="K4299" i="2"/>
  <c r="M4299" i="2" s="1"/>
  <c r="C4298" i="2"/>
  <c r="D4298" i="2"/>
  <c r="F4298" i="2"/>
  <c r="I4298" i="2"/>
  <c r="J4298" i="2"/>
  <c r="K4298" i="2"/>
  <c r="M4298" i="2" s="1"/>
  <c r="C4297" i="2"/>
  <c r="D4297" i="2"/>
  <c r="F4297" i="2"/>
  <c r="I4297" i="2"/>
  <c r="J4297" i="2"/>
  <c r="K4297" i="2"/>
  <c r="M4297" i="2" s="1"/>
  <c r="C4296" i="2"/>
  <c r="D4296" i="2"/>
  <c r="F4296" i="2"/>
  <c r="I4296" i="2"/>
  <c r="J4296" i="2"/>
  <c r="K4296" i="2"/>
  <c r="C4295" i="2"/>
  <c r="D4295" i="2"/>
  <c r="F4295" i="2"/>
  <c r="I4295" i="2"/>
  <c r="J4295" i="2"/>
  <c r="C4294" i="2"/>
  <c r="D4294" i="2"/>
  <c r="F4294" i="2"/>
  <c r="I4294" i="2"/>
  <c r="J4294" i="2"/>
  <c r="K4294" i="2"/>
  <c r="M4294" i="2" s="1"/>
  <c r="C4293" i="2"/>
  <c r="D4293" i="2"/>
  <c r="F4293" i="2"/>
  <c r="I4293" i="2"/>
  <c r="J4293" i="2"/>
  <c r="C4292" i="2"/>
  <c r="D4292" i="2"/>
  <c r="F4292" i="2"/>
  <c r="I4292" i="2"/>
  <c r="J4292" i="2"/>
  <c r="K4292" i="2"/>
  <c r="M4292" i="2" s="1"/>
  <c r="C4291" i="2"/>
  <c r="D4291" i="2"/>
  <c r="F4291" i="2"/>
  <c r="I4291" i="2"/>
  <c r="J4291" i="2"/>
  <c r="C4290" i="2"/>
  <c r="D4290" i="2"/>
  <c r="F4290" i="2"/>
  <c r="I4290" i="2"/>
  <c r="J4290" i="2"/>
  <c r="K4290" i="2"/>
  <c r="M4290" i="2" s="1"/>
  <c r="C4289" i="2"/>
  <c r="D4289" i="2"/>
  <c r="F4289" i="2"/>
  <c r="I4289" i="2"/>
  <c r="J4289" i="2"/>
  <c r="C4288" i="2"/>
  <c r="D4288" i="2"/>
  <c r="F4288" i="2"/>
  <c r="I4288" i="2"/>
  <c r="J4288" i="2"/>
  <c r="C4287" i="2"/>
  <c r="D4287" i="2"/>
  <c r="F4287" i="2"/>
  <c r="I4287" i="2"/>
  <c r="J4287" i="2"/>
  <c r="K4287" i="2"/>
  <c r="C4286" i="2"/>
  <c r="D4286" i="2"/>
  <c r="F4286" i="2"/>
  <c r="I4286" i="2"/>
  <c r="J4286" i="2"/>
  <c r="C4285" i="2"/>
  <c r="D4285" i="2"/>
  <c r="F4285" i="2"/>
  <c r="I4285" i="2"/>
  <c r="J4285" i="2"/>
  <c r="K4285" i="2"/>
  <c r="M4285" i="2" s="1"/>
  <c r="C4283" i="2"/>
  <c r="C4284" i="2"/>
  <c r="D4283" i="2"/>
  <c r="D4284" i="2"/>
  <c r="F4283" i="2"/>
  <c r="F4284" i="2"/>
  <c r="I4283" i="2"/>
  <c r="I4284" i="2"/>
  <c r="J4283" i="2"/>
  <c r="J4284" i="2"/>
  <c r="K4283" i="2"/>
  <c r="M4283" i="2" s="1"/>
  <c r="C4282" i="2"/>
  <c r="D4282" i="2"/>
  <c r="F4282" i="2"/>
  <c r="I4282" i="2"/>
  <c r="J4282" i="2"/>
  <c r="C4281" i="2"/>
  <c r="D4281" i="2"/>
  <c r="F4281" i="2"/>
  <c r="I4281" i="2"/>
  <c r="J4281" i="2"/>
  <c r="K4281" i="2"/>
  <c r="M4281" i="2" s="1"/>
  <c r="C4280" i="2"/>
  <c r="D4280" i="2"/>
  <c r="F4280" i="2"/>
  <c r="I4280" i="2"/>
  <c r="J4280" i="2"/>
  <c r="K4280" i="2"/>
  <c r="M4280" i="2" s="1"/>
  <c r="C4279" i="2"/>
  <c r="D4279" i="2"/>
  <c r="F4279" i="2"/>
  <c r="I4279" i="2"/>
  <c r="J4279" i="2"/>
  <c r="C4278" i="2"/>
  <c r="D4278" i="2"/>
  <c r="F4278" i="2"/>
  <c r="I4278" i="2"/>
  <c r="J4278" i="2"/>
  <c r="C4277" i="2"/>
  <c r="D4277" i="2"/>
  <c r="F4277" i="2"/>
  <c r="I4277" i="2"/>
  <c r="J4277" i="2"/>
  <c r="K4277" i="2"/>
  <c r="M4277" i="2" s="1"/>
  <c r="C4276" i="2"/>
  <c r="D4276" i="2"/>
  <c r="F4276" i="2"/>
  <c r="I4276" i="2"/>
  <c r="J4276" i="2"/>
  <c r="G4272" i="2"/>
  <c r="C4260" i="2"/>
  <c r="D4260" i="2"/>
  <c r="F4260" i="2"/>
  <c r="I4260" i="2"/>
  <c r="J4260" i="2"/>
  <c r="K4260" i="2"/>
  <c r="C4261" i="2"/>
  <c r="D4261" i="2"/>
  <c r="F4261" i="2"/>
  <c r="I4261" i="2"/>
  <c r="J4261" i="2"/>
  <c r="G4253" i="2"/>
  <c r="C4275" i="2"/>
  <c r="D4275" i="2"/>
  <c r="F4275" i="2"/>
  <c r="I4275" i="2"/>
  <c r="J4275" i="2"/>
  <c r="C4274" i="2"/>
  <c r="D4274" i="2"/>
  <c r="F4274" i="2"/>
  <c r="I4274" i="2"/>
  <c r="J4274" i="2"/>
  <c r="K4274" i="2"/>
  <c r="M4274" i="2" s="1"/>
  <c r="C4273" i="2"/>
  <c r="D4273" i="2"/>
  <c r="F4273" i="2"/>
  <c r="I4273" i="2"/>
  <c r="J4273" i="2"/>
  <c r="C4272" i="2"/>
  <c r="D4272" i="2"/>
  <c r="F4272" i="2"/>
  <c r="I4272" i="2"/>
  <c r="J4272" i="2"/>
  <c r="K4272" i="2"/>
  <c r="M4272" i="2" s="1"/>
  <c r="C4271" i="2"/>
  <c r="D4271" i="2"/>
  <c r="F4271" i="2"/>
  <c r="I4271" i="2"/>
  <c r="J4271" i="2"/>
  <c r="C4270" i="2"/>
  <c r="D4270" i="2"/>
  <c r="F4270" i="2"/>
  <c r="I4270" i="2"/>
  <c r="J4270" i="2"/>
  <c r="C4269" i="2"/>
  <c r="D4269" i="2"/>
  <c r="F4269" i="2"/>
  <c r="I4269" i="2"/>
  <c r="J4269" i="2"/>
  <c r="K4269" i="2"/>
  <c r="C4268" i="2"/>
  <c r="D4268" i="2"/>
  <c r="F4268" i="2"/>
  <c r="I4268" i="2"/>
  <c r="J4268" i="2"/>
  <c r="K4268" i="2"/>
  <c r="C4267" i="2"/>
  <c r="D4267" i="2"/>
  <c r="F4267" i="2"/>
  <c r="I4267" i="2"/>
  <c r="J4267" i="2"/>
  <c r="K4267" i="2"/>
  <c r="C4266" i="2"/>
  <c r="D4266" i="2"/>
  <c r="F4266" i="2"/>
  <c r="I4266" i="2"/>
  <c r="J4266" i="2"/>
  <c r="C4265" i="2"/>
  <c r="D4265" i="2"/>
  <c r="F4265" i="2"/>
  <c r="I4265" i="2"/>
  <c r="J4265" i="2"/>
  <c r="C4264" i="2"/>
  <c r="D4264" i="2"/>
  <c r="F4264" i="2"/>
  <c r="I4264" i="2"/>
  <c r="J4264" i="2"/>
  <c r="C4263" i="2"/>
  <c r="D4263" i="2"/>
  <c r="F4263" i="2"/>
  <c r="I4263" i="2"/>
  <c r="J4263" i="2"/>
  <c r="K4263" i="2"/>
  <c r="C4262" i="2"/>
  <c r="D4262" i="2"/>
  <c r="F4262" i="2"/>
  <c r="I4262" i="2"/>
  <c r="J4262" i="2"/>
  <c r="K4262" i="2"/>
  <c r="C4259" i="2"/>
  <c r="D4259" i="2"/>
  <c r="F4259" i="2"/>
  <c r="I4259" i="2"/>
  <c r="J4259" i="2"/>
  <c r="C4258" i="2"/>
  <c r="D4258" i="2"/>
  <c r="F4258" i="2"/>
  <c r="I4258" i="2"/>
  <c r="J4258" i="2"/>
  <c r="K4258" i="2"/>
  <c r="C4257" i="2"/>
  <c r="D4257" i="2"/>
  <c r="F4257" i="2"/>
  <c r="I4257" i="2"/>
  <c r="J4257" i="2"/>
  <c r="K4257" i="2"/>
  <c r="M4257" i="2" s="1"/>
  <c r="C4256" i="2"/>
  <c r="D4256" i="2"/>
  <c r="F4256" i="2"/>
  <c r="I4256" i="2"/>
  <c r="J4256" i="2"/>
  <c r="K4256" i="2"/>
  <c r="M4256" i="2" s="1"/>
  <c r="C4255" i="2"/>
  <c r="D4255" i="2"/>
  <c r="F4255" i="2"/>
  <c r="I4255" i="2"/>
  <c r="J4255" i="2"/>
  <c r="C4254" i="2"/>
  <c r="D4254" i="2"/>
  <c r="F4254" i="2"/>
  <c r="I4254" i="2"/>
  <c r="J4254" i="2"/>
  <c r="C4253" i="2"/>
  <c r="D4253" i="2"/>
  <c r="F4253" i="2"/>
  <c r="I4253" i="2"/>
  <c r="J4253" i="2"/>
  <c r="C4252" i="2"/>
  <c r="D4252" i="2"/>
  <c r="F4252" i="2"/>
  <c r="I4252" i="2"/>
  <c r="J4252" i="2"/>
  <c r="C4251" i="2"/>
  <c r="D4251" i="2"/>
  <c r="F4251" i="2"/>
  <c r="I4251" i="2"/>
  <c r="J4251" i="2"/>
  <c r="C4250" i="2"/>
  <c r="D4250" i="2"/>
  <c r="F4250" i="2"/>
  <c r="I4250" i="2"/>
  <c r="J4250" i="2"/>
  <c r="K4250" i="2"/>
  <c r="M4250" i="2" s="1"/>
  <c r="C4249" i="2"/>
  <c r="D4249" i="2"/>
  <c r="F4249" i="2"/>
  <c r="I4249" i="2"/>
  <c r="J4249" i="2"/>
  <c r="K4249" i="2"/>
  <c r="M4249" i="2" s="1"/>
  <c r="C4248" i="2"/>
  <c r="D4248" i="2"/>
  <c r="F4248" i="2"/>
  <c r="I4248" i="2"/>
  <c r="J4248" i="2"/>
  <c r="K4248" i="2"/>
  <c r="M4248" i="2" s="1"/>
  <c r="C4247" i="2"/>
  <c r="D4247" i="2"/>
  <c r="F4247" i="2"/>
  <c r="I4247" i="2"/>
  <c r="J4247" i="2"/>
  <c r="K4247" i="2"/>
  <c r="M4247" i="2" s="1"/>
  <c r="C4246" i="2"/>
  <c r="D4246" i="2"/>
  <c r="F4246" i="2"/>
  <c r="I4246" i="2"/>
  <c r="J4246" i="2"/>
  <c r="N4382" i="2" l="1"/>
  <c r="N4383" i="2"/>
  <c r="M4384" i="2"/>
  <c r="N4384" i="2" s="1"/>
  <c r="N4378" i="2"/>
  <c r="N4380" i="2"/>
  <c r="N4381" i="2"/>
  <c r="N4379" i="2"/>
  <c r="L191" i="10"/>
  <c r="J191" i="10"/>
  <c r="N4376" i="2"/>
  <c r="N4375" i="2"/>
  <c r="N4374" i="2"/>
  <c r="N4372" i="2"/>
  <c r="N4368" i="2"/>
  <c r="N4371" i="2"/>
  <c r="N4370" i="2"/>
  <c r="N4365" i="2"/>
  <c r="N4366" i="2"/>
  <c r="N4364" i="2"/>
  <c r="M4296" i="2"/>
  <c r="N4296" i="2" s="1"/>
  <c r="H27" i="10"/>
  <c r="J27" i="10" s="1"/>
  <c r="N4361" i="2"/>
  <c r="N4360" i="2"/>
  <c r="N4357" i="2"/>
  <c r="N4358" i="2"/>
  <c r="N4354" i="2"/>
  <c r="N4353" i="2"/>
  <c r="N4352" i="2"/>
  <c r="N4349" i="2"/>
  <c r="N4344" i="2"/>
  <c r="H102" i="10"/>
  <c r="L102" i="10" s="1"/>
  <c r="N4342" i="2"/>
  <c r="H13" i="10"/>
  <c r="L13" i="10" s="1"/>
  <c r="N4339" i="2"/>
  <c r="H44" i="10"/>
  <c r="L44" i="10" s="1"/>
  <c r="N4334" i="2"/>
  <c r="N4336" i="2"/>
  <c r="N4337" i="2"/>
  <c r="N4330" i="2"/>
  <c r="N4331" i="2"/>
  <c r="N4329" i="2"/>
  <c r="N4326" i="2"/>
  <c r="N4324" i="2"/>
  <c r="N4322" i="2"/>
  <c r="N4323" i="2"/>
  <c r="N4321" i="2"/>
  <c r="N4316" i="2"/>
  <c r="N4315" i="2"/>
  <c r="N4313" i="2"/>
  <c r="N4311" i="2"/>
  <c r="N4283" i="2"/>
  <c r="N4310" i="2"/>
  <c r="N4308" i="2"/>
  <c r="N4306" i="2"/>
  <c r="N4305" i="2"/>
  <c r="M4301" i="2"/>
  <c r="N4301" i="2" s="1"/>
  <c r="M4303" i="2"/>
  <c r="N4303" i="2" s="1"/>
  <c r="N4299" i="2"/>
  <c r="N4298" i="2"/>
  <c r="N4297" i="2"/>
  <c r="N4294" i="2"/>
  <c r="N4292" i="2"/>
  <c r="N4290" i="2"/>
  <c r="M4287" i="2"/>
  <c r="N4287" i="2" s="1"/>
  <c r="N4285" i="2"/>
  <c r="N4280" i="2"/>
  <c r="N4281" i="2"/>
  <c r="N4277" i="2"/>
  <c r="N4274" i="2"/>
  <c r="N4260" i="2"/>
  <c r="N4267" i="2"/>
  <c r="N4272" i="2"/>
  <c r="N4269" i="2"/>
  <c r="N4268" i="2"/>
  <c r="N4263" i="2"/>
  <c r="N4262" i="2"/>
  <c r="N4258" i="2"/>
  <c r="N4257" i="2"/>
  <c r="N4256" i="2"/>
  <c r="N4249" i="2"/>
  <c r="N4250" i="2"/>
  <c r="N4247" i="2"/>
  <c r="N4248" i="2"/>
  <c r="I199" i="10"/>
  <c r="K4362" i="2" s="1"/>
  <c r="F199" i="10"/>
  <c r="G199" i="10"/>
  <c r="C983" i="1"/>
  <c r="D983" i="1"/>
  <c r="E983" i="1"/>
  <c r="G983" i="1"/>
  <c r="J983" i="1"/>
  <c r="L983" i="1"/>
  <c r="C982" i="1"/>
  <c r="D982" i="1"/>
  <c r="E982" i="1"/>
  <c r="G982" i="1"/>
  <c r="J982" i="1"/>
  <c r="L982" i="1"/>
  <c r="M191" i="10" l="1"/>
  <c r="L27" i="10"/>
  <c r="M27" i="10" s="1"/>
  <c r="M4362" i="2"/>
  <c r="N4362" i="2" s="1"/>
  <c r="J102" i="10"/>
  <c r="M102" i="10" s="1"/>
  <c r="J13" i="10"/>
  <c r="M13" i="10" s="1"/>
  <c r="K4318" i="2"/>
  <c r="M4318" i="2" s="1"/>
  <c r="N4318" i="2" s="1"/>
  <c r="K4340" i="2"/>
  <c r="J44" i="10"/>
  <c r="M44" i="10" s="1"/>
  <c r="H199" i="10"/>
  <c r="L199" i="10" s="1"/>
  <c r="M983" i="1"/>
  <c r="M982" i="1"/>
  <c r="C929" i="1"/>
  <c r="D929" i="1"/>
  <c r="E929" i="1"/>
  <c r="G929" i="1"/>
  <c r="J929" i="1"/>
  <c r="L929" i="1"/>
  <c r="M4340" i="2" l="1"/>
  <c r="N4340" i="2" s="1"/>
  <c r="J199" i="10"/>
  <c r="M199" i="10" s="1"/>
  <c r="M929" i="1"/>
  <c r="E37" i="10"/>
  <c r="E42" i="10"/>
  <c r="E5" i="10"/>
  <c r="E23" i="10"/>
  <c r="G4235" i="2"/>
  <c r="I4235" i="2" s="1"/>
  <c r="C4245" i="2"/>
  <c r="D4245" i="2"/>
  <c r="F4245" i="2"/>
  <c r="I4245" i="2"/>
  <c r="J4245" i="2"/>
  <c r="K4245" i="2"/>
  <c r="M4245" i="2" s="1"/>
  <c r="G4244" i="2"/>
  <c r="I4244" i="2" s="1"/>
  <c r="G4243" i="2"/>
  <c r="I4243" i="2" s="1"/>
  <c r="C4244" i="2"/>
  <c r="D4244" i="2"/>
  <c r="F4244" i="2"/>
  <c r="J4244" i="2"/>
  <c r="K4244" i="2"/>
  <c r="C4243" i="2"/>
  <c r="D4243" i="2"/>
  <c r="F4243" i="2"/>
  <c r="J4243" i="2"/>
  <c r="K4243" i="2"/>
  <c r="C4242" i="2"/>
  <c r="D4242" i="2"/>
  <c r="F4242" i="2"/>
  <c r="I4242" i="2"/>
  <c r="J4242" i="2"/>
  <c r="C4241" i="2"/>
  <c r="D4241" i="2"/>
  <c r="F4241" i="2"/>
  <c r="I4241" i="2"/>
  <c r="J4241" i="2"/>
  <c r="C4240" i="2"/>
  <c r="D4240" i="2"/>
  <c r="F4240" i="2"/>
  <c r="I4240" i="2"/>
  <c r="J4240" i="2"/>
  <c r="K4240" i="2"/>
  <c r="M4240" i="2" s="1"/>
  <c r="C4239" i="2"/>
  <c r="D4239" i="2"/>
  <c r="F4239" i="2"/>
  <c r="I4239" i="2"/>
  <c r="J4239" i="2"/>
  <c r="K4239" i="2"/>
  <c r="M4239" i="2" s="1"/>
  <c r="C4238" i="2"/>
  <c r="D4238" i="2"/>
  <c r="F4238" i="2"/>
  <c r="I4238" i="2"/>
  <c r="J4238" i="2"/>
  <c r="C4237" i="2"/>
  <c r="D4237" i="2"/>
  <c r="F4237" i="2"/>
  <c r="I4237" i="2"/>
  <c r="J4237" i="2"/>
  <c r="K4237" i="2"/>
  <c r="M4237" i="2" s="1"/>
  <c r="C4236" i="2"/>
  <c r="D4236" i="2"/>
  <c r="F4236" i="2"/>
  <c r="I4236" i="2"/>
  <c r="J4236" i="2"/>
  <c r="C4235" i="2"/>
  <c r="D4235" i="2"/>
  <c r="F4235" i="2"/>
  <c r="J4235" i="2"/>
  <c r="C4234" i="2"/>
  <c r="D4234" i="2"/>
  <c r="F4234" i="2"/>
  <c r="I4234" i="2"/>
  <c r="J4234" i="2"/>
  <c r="C4233" i="2"/>
  <c r="D4233" i="2"/>
  <c r="F4233" i="2"/>
  <c r="I4233" i="2"/>
  <c r="J4233" i="2"/>
  <c r="C4232" i="2"/>
  <c r="D4232" i="2"/>
  <c r="F4232" i="2"/>
  <c r="I4232" i="2"/>
  <c r="J4232" i="2"/>
  <c r="C4231" i="2"/>
  <c r="D4231" i="2"/>
  <c r="F4231" i="2"/>
  <c r="I4231" i="2"/>
  <c r="J4231" i="2"/>
  <c r="K4231" i="2"/>
  <c r="M4231" i="2" s="1"/>
  <c r="C4230" i="2"/>
  <c r="D4230" i="2"/>
  <c r="F4230" i="2"/>
  <c r="I4230" i="2"/>
  <c r="J4230" i="2"/>
  <c r="C4229" i="2"/>
  <c r="D4229" i="2"/>
  <c r="F4229" i="2"/>
  <c r="I4229" i="2"/>
  <c r="J4229" i="2"/>
  <c r="C4228" i="2"/>
  <c r="D4228" i="2"/>
  <c r="F4228" i="2"/>
  <c r="I4228" i="2"/>
  <c r="J4228" i="2"/>
  <c r="K4228" i="2"/>
  <c r="M4228" i="2" s="1"/>
  <c r="C4227" i="2"/>
  <c r="D4227" i="2"/>
  <c r="F4227" i="2"/>
  <c r="I4227" i="2"/>
  <c r="J4227" i="2"/>
  <c r="K4227" i="2"/>
  <c r="M4227" i="2" s="1"/>
  <c r="C4226" i="2"/>
  <c r="D4226" i="2"/>
  <c r="F4226" i="2"/>
  <c r="I4226" i="2"/>
  <c r="J4226" i="2"/>
  <c r="C4225" i="2"/>
  <c r="D4225" i="2"/>
  <c r="F4225" i="2"/>
  <c r="I4225" i="2"/>
  <c r="J4225" i="2"/>
  <c r="K4225" i="2"/>
  <c r="M4225" i="2" s="1"/>
  <c r="G4212" i="2"/>
  <c r="G4211" i="2"/>
  <c r="I4211" i="2" s="1"/>
  <c r="C4224" i="2"/>
  <c r="D4224" i="2"/>
  <c r="F4224" i="2"/>
  <c r="I4224" i="2"/>
  <c r="J4224" i="2"/>
  <c r="K4224" i="2"/>
  <c r="M4224" i="2" s="1"/>
  <c r="C4223" i="2"/>
  <c r="D4223" i="2"/>
  <c r="F4223" i="2"/>
  <c r="I4223" i="2"/>
  <c r="J4223" i="2"/>
  <c r="C4222" i="2"/>
  <c r="D4222" i="2"/>
  <c r="F4222" i="2"/>
  <c r="I4222" i="2"/>
  <c r="J4222" i="2"/>
  <c r="C4221" i="2"/>
  <c r="D4221" i="2"/>
  <c r="F4221" i="2"/>
  <c r="I4221" i="2"/>
  <c r="J4221" i="2"/>
  <c r="K4221" i="2"/>
  <c r="M4221" i="2" s="1"/>
  <c r="C4220" i="2"/>
  <c r="D4220" i="2"/>
  <c r="F4220" i="2"/>
  <c r="I4220" i="2"/>
  <c r="J4220" i="2"/>
  <c r="K4220" i="2"/>
  <c r="M4220" i="2" s="1"/>
  <c r="C4219" i="2"/>
  <c r="D4219" i="2"/>
  <c r="F4219" i="2"/>
  <c r="I4219" i="2"/>
  <c r="J4219" i="2"/>
  <c r="K4219" i="2"/>
  <c r="M4219" i="2" s="1"/>
  <c r="C4218" i="2"/>
  <c r="D4218" i="2"/>
  <c r="F4218" i="2"/>
  <c r="I4218" i="2"/>
  <c r="J4218" i="2"/>
  <c r="K4218" i="2"/>
  <c r="C4217" i="2"/>
  <c r="D4217" i="2"/>
  <c r="F4217" i="2"/>
  <c r="I4217" i="2"/>
  <c r="J4217" i="2"/>
  <c r="K4217" i="2"/>
  <c r="C4216" i="2"/>
  <c r="D4216" i="2"/>
  <c r="F4216" i="2"/>
  <c r="I4216" i="2"/>
  <c r="J4216" i="2"/>
  <c r="K4216" i="2"/>
  <c r="M4216" i="2" s="1"/>
  <c r="C4215" i="2"/>
  <c r="D4215" i="2"/>
  <c r="F4215" i="2"/>
  <c r="I4215" i="2"/>
  <c r="J4215" i="2"/>
  <c r="C4214" i="2"/>
  <c r="D4214" i="2"/>
  <c r="F4214" i="2"/>
  <c r="I4214" i="2"/>
  <c r="J4214" i="2"/>
  <c r="K4214" i="2"/>
  <c r="M4214" i="2" s="1"/>
  <c r="C4213" i="2"/>
  <c r="D4213" i="2"/>
  <c r="F4213" i="2"/>
  <c r="I4213" i="2"/>
  <c r="J4213" i="2"/>
  <c r="K4213" i="2"/>
  <c r="M4213" i="2" s="1"/>
  <c r="C4212" i="2"/>
  <c r="D4212" i="2"/>
  <c r="F4212" i="2"/>
  <c r="I4212" i="2"/>
  <c r="J4212" i="2"/>
  <c r="K4212" i="2"/>
  <c r="M4212" i="2" s="1"/>
  <c r="C4211" i="2"/>
  <c r="D4211" i="2"/>
  <c r="F4211" i="2"/>
  <c r="J4211" i="2"/>
  <c r="C4210" i="2"/>
  <c r="D4210" i="2"/>
  <c r="F4210" i="2"/>
  <c r="I4210" i="2"/>
  <c r="J4210" i="2"/>
  <c r="K4210" i="2"/>
  <c r="M4210" i="2" s="1"/>
  <c r="C4209" i="2"/>
  <c r="D4209" i="2"/>
  <c r="F4209" i="2"/>
  <c r="I4209" i="2"/>
  <c r="J4209" i="2"/>
  <c r="K4209" i="2"/>
  <c r="M4209" i="2" s="1"/>
  <c r="C4208" i="2"/>
  <c r="D4208" i="2"/>
  <c r="F4208" i="2"/>
  <c r="I4208" i="2"/>
  <c r="J4208" i="2"/>
  <c r="K4208" i="2"/>
  <c r="M4208" i="2" s="1"/>
  <c r="C4207" i="2"/>
  <c r="D4207" i="2"/>
  <c r="F4207" i="2"/>
  <c r="I4207" i="2"/>
  <c r="J4207" i="2"/>
  <c r="C4206" i="2"/>
  <c r="D4206" i="2"/>
  <c r="F4206" i="2"/>
  <c r="I4206" i="2"/>
  <c r="J4206" i="2"/>
  <c r="C4205" i="2"/>
  <c r="D4205" i="2"/>
  <c r="F4205" i="2"/>
  <c r="I4205" i="2"/>
  <c r="J4205" i="2"/>
  <c r="K4205" i="2"/>
  <c r="M4205" i="2" s="1"/>
  <c r="G4204" i="2"/>
  <c r="I4204" i="2" s="1"/>
  <c r="G4200" i="2"/>
  <c r="I4200" i="2" s="1"/>
  <c r="G4186" i="2"/>
  <c r="I4186" i="2" s="1"/>
  <c r="G4181" i="2"/>
  <c r="I4181" i="2" s="1"/>
  <c r="G4177" i="2"/>
  <c r="I4177" i="2" s="1"/>
  <c r="G4176" i="2"/>
  <c r="I4176" i="2" s="1"/>
  <c r="C4204" i="2"/>
  <c r="D4204" i="2"/>
  <c r="F4204" i="2"/>
  <c r="J4204" i="2"/>
  <c r="C4203" i="2"/>
  <c r="D4203" i="2"/>
  <c r="F4203" i="2"/>
  <c r="I4203" i="2"/>
  <c r="J4203" i="2"/>
  <c r="C4202" i="2"/>
  <c r="D4202" i="2"/>
  <c r="F4202" i="2"/>
  <c r="I4202" i="2"/>
  <c r="J4202" i="2"/>
  <c r="K4202" i="2"/>
  <c r="M4202" i="2" s="1"/>
  <c r="C4201" i="2"/>
  <c r="D4201" i="2"/>
  <c r="F4201" i="2"/>
  <c r="I4201" i="2"/>
  <c r="J4201" i="2"/>
  <c r="C4200" i="2"/>
  <c r="D4200" i="2"/>
  <c r="F4200" i="2"/>
  <c r="J4200" i="2"/>
  <c r="K4200" i="2"/>
  <c r="C4199" i="2"/>
  <c r="D4199" i="2"/>
  <c r="F4199" i="2"/>
  <c r="I4199" i="2"/>
  <c r="J4199" i="2"/>
  <c r="K4199" i="2"/>
  <c r="M4199" i="2" s="1"/>
  <c r="C4198" i="2"/>
  <c r="D4198" i="2"/>
  <c r="F4198" i="2"/>
  <c r="I4198" i="2"/>
  <c r="J4198" i="2"/>
  <c r="C4197" i="2"/>
  <c r="D4197" i="2"/>
  <c r="F4197" i="2"/>
  <c r="I4197" i="2"/>
  <c r="J4197" i="2"/>
  <c r="K4197" i="2"/>
  <c r="M4197" i="2" s="1"/>
  <c r="C4196" i="2"/>
  <c r="D4196" i="2"/>
  <c r="F4196" i="2"/>
  <c r="I4196" i="2"/>
  <c r="J4196" i="2"/>
  <c r="K4196" i="2"/>
  <c r="M4196" i="2" s="1"/>
  <c r="C4195" i="2"/>
  <c r="D4195" i="2"/>
  <c r="F4195" i="2"/>
  <c r="I4195" i="2"/>
  <c r="J4195" i="2"/>
  <c r="C4194" i="2"/>
  <c r="D4194" i="2"/>
  <c r="F4194" i="2"/>
  <c r="I4194" i="2"/>
  <c r="J4194" i="2"/>
  <c r="K4194" i="2"/>
  <c r="M4194" i="2" s="1"/>
  <c r="F8" i="10"/>
  <c r="G8" i="10"/>
  <c r="C4193" i="2"/>
  <c r="D4193" i="2"/>
  <c r="F4193" i="2"/>
  <c r="I4193" i="2"/>
  <c r="J4193" i="2"/>
  <c r="K4193" i="2"/>
  <c r="M4193" i="2" s="1"/>
  <c r="C4192" i="2"/>
  <c r="D4192" i="2"/>
  <c r="F4192" i="2"/>
  <c r="I4192" i="2"/>
  <c r="J4192" i="2"/>
  <c r="C4191" i="2"/>
  <c r="D4191" i="2"/>
  <c r="F4191" i="2"/>
  <c r="I4191" i="2"/>
  <c r="J4191" i="2"/>
  <c r="K4191" i="2"/>
  <c r="M4191" i="2" s="1"/>
  <c r="C4190" i="2"/>
  <c r="D4190" i="2"/>
  <c r="F4190" i="2"/>
  <c r="I4190" i="2"/>
  <c r="J4190" i="2"/>
  <c r="C4189" i="2"/>
  <c r="D4189" i="2"/>
  <c r="F4189" i="2"/>
  <c r="I4189" i="2"/>
  <c r="J4189" i="2"/>
  <c r="K4189" i="2"/>
  <c r="M4189" i="2" s="1"/>
  <c r="C4188" i="2"/>
  <c r="D4188" i="2"/>
  <c r="F4188" i="2"/>
  <c r="I4188" i="2"/>
  <c r="J4188" i="2"/>
  <c r="K4188" i="2"/>
  <c r="M4188" i="2" s="1"/>
  <c r="C4187" i="2"/>
  <c r="D4187" i="2"/>
  <c r="F4187" i="2"/>
  <c r="I4187" i="2"/>
  <c r="J4187" i="2"/>
  <c r="K4187" i="2"/>
  <c r="M4187" i="2" s="1"/>
  <c r="C4186" i="2"/>
  <c r="D4186" i="2"/>
  <c r="F4186" i="2"/>
  <c r="J4186" i="2"/>
  <c r="K4186" i="2"/>
  <c r="C4185" i="2"/>
  <c r="D4185" i="2"/>
  <c r="F4185" i="2"/>
  <c r="I4185" i="2"/>
  <c r="J4185" i="2"/>
  <c r="K4185" i="2"/>
  <c r="M4185" i="2" s="1"/>
  <c r="C4184" i="2"/>
  <c r="D4184" i="2"/>
  <c r="F4184" i="2"/>
  <c r="I4184" i="2"/>
  <c r="J4184" i="2"/>
  <c r="C4183" i="2"/>
  <c r="D4183" i="2"/>
  <c r="F4183" i="2"/>
  <c r="I4183" i="2"/>
  <c r="J4183" i="2"/>
  <c r="K4183" i="2"/>
  <c r="M4183" i="2" s="1"/>
  <c r="C4182" i="2"/>
  <c r="D4182" i="2"/>
  <c r="F4182" i="2"/>
  <c r="I4182" i="2"/>
  <c r="J4182" i="2"/>
  <c r="C4181" i="2"/>
  <c r="D4181" i="2"/>
  <c r="F4181" i="2"/>
  <c r="J4181" i="2"/>
  <c r="C4180" i="2"/>
  <c r="D4180" i="2"/>
  <c r="F4180" i="2"/>
  <c r="I4180" i="2"/>
  <c r="J4180" i="2"/>
  <c r="C4179" i="2"/>
  <c r="D4179" i="2"/>
  <c r="F4179" i="2"/>
  <c r="I4179" i="2"/>
  <c r="J4179" i="2"/>
  <c r="K4179" i="2"/>
  <c r="M4179" i="2" s="1"/>
  <c r="C4178" i="2"/>
  <c r="D4178" i="2"/>
  <c r="F4178" i="2"/>
  <c r="I4178" i="2"/>
  <c r="J4178" i="2"/>
  <c r="K4178" i="2"/>
  <c r="M4178" i="2" s="1"/>
  <c r="C4177" i="2"/>
  <c r="D4177" i="2"/>
  <c r="F4177" i="2"/>
  <c r="J4177" i="2"/>
  <c r="C4176" i="2"/>
  <c r="D4176" i="2"/>
  <c r="F4176" i="2"/>
  <c r="J4176" i="2"/>
  <c r="K4176" i="2"/>
  <c r="C4175" i="2"/>
  <c r="D4175" i="2"/>
  <c r="F4175" i="2"/>
  <c r="I4175" i="2"/>
  <c r="J4175" i="2"/>
  <c r="G4166" i="2"/>
  <c r="I4166" i="2" s="1"/>
  <c r="G4165" i="2"/>
  <c r="I4165" i="2" s="1"/>
  <c r="C4174" i="2"/>
  <c r="D4174" i="2"/>
  <c r="F4174" i="2"/>
  <c r="I4174" i="2"/>
  <c r="J4174" i="2"/>
  <c r="K4174" i="2"/>
  <c r="M4174" i="2" s="1"/>
  <c r="C4173" i="2"/>
  <c r="D4173" i="2"/>
  <c r="F4173" i="2"/>
  <c r="I4173" i="2"/>
  <c r="J4173" i="2"/>
  <c r="I188" i="10"/>
  <c r="F166" i="10"/>
  <c r="G166" i="10"/>
  <c r="C4172" i="2"/>
  <c r="D4172" i="2"/>
  <c r="F4172" i="2"/>
  <c r="I4172" i="2"/>
  <c r="J4172" i="2"/>
  <c r="K4172" i="2"/>
  <c r="M4172" i="2" s="1"/>
  <c r="C4171" i="2"/>
  <c r="D4171" i="2"/>
  <c r="F4171" i="2"/>
  <c r="I4171" i="2"/>
  <c r="J4171" i="2"/>
  <c r="K4171" i="2"/>
  <c r="M4171" i="2" s="1"/>
  <c r="C4170" i="2"/>
  <c r="D4170" i="2"/>
  <c r="F4170" i="2"/>
  <c r="I4170" i="2"/>
  <c r="J4170" i="2"/>
  <c r="K4170" i="2"/>
  <c r="M4170" i="2" s="1"/>
  <c r="C4169" i="2"/>
  <c r="D4169" i="2"/>
  <c r="F4169" i="2"/>
  <c r="I4169" i="2"/>
  <c r="J4169" i="2"/>
  <c r="K4169" i="2"/>
  <c r="M4169" i="2" s="1"/>
  <c r="C4168" i="2"/>
  <c r="D4168" i="2"/>
  <c r="F4168" i="2"/>
  <c r="I4168" i="2"/>
  <c r="J4168" i="2"/>
  <c r="K4168" i="2"/>
  <c r="M4168" i="2" s="1"/>
  <c r="C4167" i="2"/>
  <c r="D4167" i="2"/>
  <c r="F4167" i="2"/>
  <c r="I4167" i="2"/>
  <c r="J4167" i="2"/>
  <c r="C4166" i="2"/>
  <c r="D4166" i="2"/>
  <c r="F4166" i="2"/>
  <c r="J4166" i="2"/>
  <c r="K4166" i="2"/>
  <c r="C4165" i="2"/>
  <c r="D4165" i="2"/>
  <c r="F4165" i="2"/>
  <c r="J4165" i="2"/>
  <c r="K4165" i="2"/>
  <c r="C4164" i="2"/>
  <c r="D4164" i="2"/>
  <c r="F4164" i="2"/>
  <c r="I4164" i="2"/>
  <c r="J4164" i="2"/>
  <c r="K4164" i="2"/>
  <c r="M4164" i="2" s="1"/>
  <c r="G4163" i="2"/>
  <c r="I4163" i="2" s="1"/>
  <c r="G4162" i="2"/>
  <c r="I4162" i="2" s="1"/>
  <c r="C4163" i="2"/>
  <c r="D4163" i="2"/>
  <c r="F4163" i="2"/>
  <c r="J4163" i="2"/>
  <c r="K4163" i="2"/>
  <c r="C4162" i="2"/>
  <c r="D4162" i="2"/>
  <c r="F4162" i="2"/>
  <c r="J4162" i="2"/>
  <c r="C4161" i="2"/>
  <c r="D4161" i="2"/>
  <c r="F4161" i="2"/>
  <c r="I4161" i="2"/>
  <c r="J4161" i="2"/>
  <c r="K4161" i="2"/>
  <c r="M4161" i="2" s="1"/>
  <c r="C4160" i="2"/>
  <c r="D4160" i="2"/>
  <c r="F4160" i="2"/>
  <c r="I4160" i="2"/>
  <c r="J4160" i="2"/>
  <c r="K4160" i="2"/>
  <c r="M4160" i="2" s="1"/>
  <c r="C4159" i="2"/>
  <c r="D4159" i="2"/>
  <c r="F4159" i="2"/>
  <c r="I4159" i="2"/>
  <c r="J4159" i="2"/>
  <c r="C4158" i="2"/>
  <c r="D4158" i="2"/>
  <c r="F4158" i="2"/>
  <c r="I4158" i="2"/>
  <c r="J4158" i="2"/>
  <c r="C4157" i="2"/>
  <c r="D4157" i="2"/>
  <c r="F4157" i="2"/>
  <c r="I4157" i="2"/>
  <c r="J4157" i="2"/>
  <c r="C4156" i="2"/>
  <c r="D4156" i="2"/>
  <c r="F4156" i="2"/>
  <c r="I4156" i="2"/>
  <c r="J4156" i="2"/>
  <c r="K4156" i="2"/>
  <c r="M4156" i="2" s="1"/>
  <c r="C4155" i="2"/>
  <c r="D4155" i="2"/>
  <c r="F4155" i="2"/>
  <c r="I4155" i="2"/>
  <c r="J4155" i="2"/>
  <c r="K4155" i="2"/>
  <c r="M4155" i="2" s="1"/>
  <c r="I168" i="10"/>
  <c r="I22" i="10"/>
  <c r="I65" i="10"/>
  <c r="I197" i="10"/>
  <c r="K4173" i="2"/>
  <c r="F188" i="10"/>
  <c r="G188" i="10"/>
  <c r="C978" i="1"/>
  <c r="C979" i="1"/>
  <c r="D978" i="1"/>
  <c r="D979" i="1"/>
  <c r="E978" i="1"/>
  <c r="E979" i="1"/>
  <c r="G978" i="1"/>
  <c r="G979" i="1"/>
  <c r="J978" i="1"/>
  <c r="J979" i="1"/>
  <c r="L978" i="1"/>
  <c r="L979" i="1"/>
  <c r="C977" i="1"/>
  <c r="D977" i="1"/>
  <c r="E977" i="1"/>
  <c r="G977" i="1"/>
  <c r="J977" i="1"/>
  <c r="L977" i="1"/>
  <c r="F197" i="10"/>
  <c r="G197" i="10"/>
  <c r="C976" i="1"/>
  <c r="D976" i="1"/>
  <c r="E976" i="1"/>
  <c r="G976" i="1"/>
  <c r="J976" i="1"/>
  <c r="L976" i="1"/>
  <c r="C975" i="1"/>
  <c r="D975" i="1"/>
  <c r="E975" i="1"/>
  <c r="G975" i="1"/>
  <c r="J975" i="1"/>
  <c r="L975" i="1"/>
  <c r="C974" i="1"/>
  <c r="D974" i="1"/>
  <c r="E974" i="1"/>
  <c r="G974" i="1"/>
  <c r="J974" i="1"/>
  <c r="L974" i="1"/>
  <c r="C981" i="1"/>
  <c r="D981" i="1"/>
  <c r="E981" i="1"/>
  <c r="G981" i="1"/>
  <c r="J981" i="1"/>
  <c r="L981" i="1"/>
  <c r="F65" i="10"/>
  <c r="G65" i="10"/>
  <c r="C980" i="1"/>
  <c r="E980" i="1"/>
  <c r="G980" i="1"/>
  <c r="J980" i="1"/>
  <c r="L980" i="1"/>
  <c r="C973" i="1"/>
  <c r="E973" i="1"/>
  <c r="G973" i="1"/>
  <c r="J973" i="1"/>
  <c r="L973" i="1"/>
  <c r="K4363" i="2" l="1"/>
  <c r="M4363" i="2" s="1"/>
  <c r="N4363" i="2" s="1"/>
  <c r="K4377" i="2"/>
  <c r="M4176" i="2"/>
  <c r="N4176" i="2" s="1"/>
  <c r="M4200" i="2"/>
  <c r="N4200" i="2" s="1"/>
  <c r="K4226" i="2"/>
  <c r="M4226" i="2" s="1"/>
  <c r="N4226" i="2" s="1"/>
  <c r="K4350" i="2"/>
  <c r="M4243" i="2"/>
  <c r="N4243" i="2" s="1"/>
  <c r="M4166" i="2"/>
  <c r="N4166" i="2" s="1"/>
  <c r="K4276" i="2"/>
  <c r="M4276" i="2" s="1"/>
  <c r="N4276" i="2" s="1"/>
  <c r="K4319" i="2"/>
  <c r="K4265" i="2"/>
  <c r="K4271" i="2"/>
  <c r="K4215" i="2"/>
  <c r="M4215" i="2" s="1"/>
  <c r="N4215" i="2" s="1"/>
  <c r="K4254" i="2"/>
  <c r="K4229" i="2"/>
  <c r="M4229" i="2" s="1"/>
  <c r="N4229" i="2" s="1"/>
  <c r="K4246" i="2"/>
  <c r="N4193" i="2"/>
  <c r="M4244" i="2"/>
  <c r="N4244" i="2" s="1"/>
  <c r="N4245" i="2"/>
  <c r="N4237" i="2"/>
  <c r="N4239" i="2"/>
  <c r="N4240" i="2"/>
  <c r="N4228" i="2"/>
  <c r="N4231" i="2"/>
  <c r="N4227" i="2"/>
  <c r="N4225" i="2"/>
  <c r="N4224" i="2"/>
  <c r="M4186" i="2"/>
  <c r="N4186" i="2" s="1"/>
  <c r="N4221" i="2"/>
  <c r="N4220" i="2"/>
  <c r="N4219" i="2"/>
  <c r="M4217" i="2"/>
  <c r="N4217" i="2" s="1"/>
  <c r="M4165" i="2"/>
  <c r="N4165" i="2" s="1"/>
  <c r="M4218" i="2"/>
  <c r="N4218" i="2" s="1"/>
  <c r="N4214" i="2"/>
  <c r="N4210" i="2"/>
  <c r="N4213" i="2"/>
  <c r="N4209" i="2"/>
  <c r="N4205" i="2"/>
  <c r="N4216" i="2"/>
  <c r="N4212" i="2"/>
  <c r="N4208" i="2"/>
  <c r="N4202" i="2"/>
  <c r="N4197" i="2"/>
  <c r="N4199" i="2"/>
  <c r="N4196" i="2"/>
  <c r="N4194" i="2"/>
  <c r="H8" i="10"/>
  <c r="L8" i="10" s="1"/>
  <c r="N4189" i="2"/>
  <c r="N4191" i="2"/>
  <c r="N4183" i="2"/>
  <c r="N4185" i="2"/>
  <c r="N4187" i="2"/>
  <c r="N4188" i="2"/>
  <c r="N4179" i="2"/>
  <c r="N4178" i="2"/>
  <c r="N4174" i="2"/>
  <c r="M4163" i="2"/>
  <c r="N4163" i="2" s="1"/>
  <c r="N4171" i="2"/>
  <c r="M4173" i="2"/>
  <c r="N4173" i="2" s="1"/>
  <c r="N4168" i="2"/>
  <c r="N4170" i="2"/>
  <c r="N4172" i="2"/>
  <c r="H166" i="10"/>
  <c r="L166" i="10" s="1"/>
  <c r="N4169" i="2"/>
  <c r="N4164" i="2"/>
  <c r="N4161" i="2"/>
  <c r="N4160" i="2"/>
  <c r="N4155" i="2"/>
  <c r="N4156" i="2"/>
  <c r="H188" i="10"/>
  <c r="J188" i="10" s="1"/>
  <c r="M977" i="1"/>
  <c r="M976" i="1"/>
  <c r="M974" i="1"/>
  <c r="M981" i="1"/>
  <c r="M978" i="1"/>
  <c r="M979" i="1"/>
  <c r="M975" i="1"/>
  <c r="H197" i="10"/>
  <c r="L197" i="10" s="1"/>
  <c r="H65" i="10"/>
  <c r="L65" i="10" s="1"/>
  <c r="M980" i="1"/>
  <c r="M973" i="1"/>
  <c r="G4151" i="2"/>
  <c r="F22" i="10"/>
  <c r="G22" i="10"/>
  <c r="F168" i="10"/>
  <c r="G168" i="10"/>
  <c r="C4154" i="2"/>
  <c r="D4154" i="2"/>
  <c r="F4154" i="2"/>
  <c r="I4154" i="2"/>
  <c r="J4154" i="2"/>
  <c r="C4153" i="2"/>
  <c r="D4153" i="2"/>
  <c r="F4153" i="2"/>
  <c r="I4153" i="2"/>
  <c r="J4153" i="2"/>
  <c r="K4153" i="2"/>
  <c r="M4153" i="2" s="1"/>
  <c r="C4152" i="2"/>
  <c r="D4152" i="2"/>
  <c r="F4152" i="2"/>
  <c r="I4152" i="2"/>
  <c r="J4152" i="2"/>
  <c r="K4152" i="2"/>
  <c r="M4152" i="2" s="1"/>
  <c r="C4151" i="2"/>
  <c r="D4151" i="2"/>
  <c r="F4151" i="2"/>
  <c r="I4151" i="2"/>
  <c r="J4151" i="2"/>
  <c r="C4150" i="2"/>
  <c r="D4150" i="2"/>
  <c r="F4150" i="2"/>
  <c r="I4150" i="2"/>
  <c r="J4150" i="2"/>
  <c r="C4149" i="2"/>
  <c r="D4149" i="2"/>
  <c r="F4149" i="2"/>
  <c r="I4149" i="2"/>
  <c r="J4149" i="2"/>
  <c r="C4148" i="2"/>
  <c r="D4148" i="2"/>
  <c r="F4148" i="2"/>
  <c r="I4148" i="2"/>
  <c r="J4148" i="2"/>
  <c r="K4148" i="2"/>
  <c r="C4147" i="2"/>
  <c r="D4147" i="2"/>
  <c r="F4147" i="2"/>
  <c r="I4147" i="2"/>
  <c r="J4147" i="2"/>
  <c r="K4147" i="2"/>
  <c r="C4146" i="2"/>
  <c r="D4146" i="2"/>
  <c r="F4146" i="2"/>
  <c r="I4146" i="2"/>
  <c r="J4146" i="2"/>
  <c r="C4145" i="2"/>
  <c r="D4145" i="2"/>
  <c r="F4145" i="2"/>
  <c r="I4145" i="2"/>
  <c r="J4145" i="2"/>
  <c r="K4145" i="2"/>
  <c r="M4145" i="2" s="1"/>
  <c r="C4144" i="2"/>
  <c r="D4144" i="2"/>
  <c r="F4144" i="2"/>
  <c r="I4144" i="2"/>
  <c r="J4144" i="2"/>
  <c r="K4144" i="2"/>
  <c r="M4144" i="2" s="1"/>
  <c r="C4143" i="2"/>
  <c r="D4143" i="2"/>
  <c r="F4143" i="2"/>
  <c r="I4143" i="2"/>
  <c r="J4143" i="2"/>
  <c r="C4142" i="2"/>
  <c r="D4142" i="2"/>
  <c r="F4142" i="2"/>
  <c r="I4142" i="2"/>
  <c r="J4142" i="2"/>
  <c r="K4142" i="2"/>
  <c r="M4142" i="2" s="1"/>
  <c r="C4141" i="2"/>
  <c r="D4141" i="2"/>
  <c r="F4141" i="2"/>
  <c r="I4141" i="2"/>
  <c r="J4141" i="2"/>
  <c r="K4141" i="2"/>
  <c r="C4140" i="2"/>
  <c r="D4140" i="2"/>
  <c r="F4140" i="2"/>
  <c r="I4140" i="2"/>
  <c r="J4140" i="2"/>
  <c r="C4139" i="2"/>
  <c r="D4139" i="2"/>
  <c r="F4139" i="2"/>
  <c r="I4139" i="2"/>
  <c r="J4139" i="2"/>
  <c r="C4138" i="2"/>
  <c r="D4138" i="2"/>
  <c r="F4138" i="2"/>
  <c r="I4138" i="2"/>
  <c r="J4138" i="2"/>
  <c r="K4138" i="2"/>
  <c r="M4138" i="2" s="1"/>
  <c r="C4137" i="2"/>
  <c r="D4137" i="2"/>
  <c r="F4137" i="2"/>
  <c r="I4137" i="2"/>
  <c r="J4137" i="2"/>
  <c r="K4137" i="2"/>
  <c r="M4137" i="2" s="1"/>
  <c r="C4136" i="2"/>
  <c r="D4136" i="2"/>
  <c r="F4136" i="2"/>
  <c r="I4136" i="2"/>
  <c r="J4136" i="2"/>
  <c r="K4136" i="2"/>
  <c r="M4136" i="2" s="1"/>
  <c r="C4135" i="2"/>
  <c r="D4135" i="2"/>
  <c r="F4135" i="2"/>
  <c r="I4135" i="2"/>
  <c r="J4135" i="2"/>
  <c r="C4134" i="2"/>
  <c r="D4134" i="2"/>
  <c r="F4134" i="2"/>
  <c r="I4134" i="2"/>
  <c r="J4134" i="2"/>
  <c r="K4134" i="2"/>
  <c r="M4134" i="2" s="1"/>
  <c r="C4133" i="2"/>
  <c r="D4133" i="2"/>
  <c r="F4133" i="2"/>
  <c r="I4133" i="2"/>
  <c r="J4133" i="2"/>
  <c r="K4133" i="2"/>
  <c r="M4133" i="2" s="1"/>
  <c r="C4132" i="2"/>
  <c r="D4132" i="2"/>
  <c r="F4132" i="2"/>
  <c r="I4132" i="2"/>
  <c r="J4132" i="2"/>
  <c r="K4132" i="2"/>
  <c r="M4132" i="2" s="1"/>
  <c r="C4131" i="2"/>
  <c r="D4131" i="2"/>
  <c r="F4131" i="2"/>
  <c r="I4131" i="2"/>
  <c r="J4131" i="2"/>
  <c r="C4130" i="2"/>
  <c r="D4130" i="2"/>
  <c r="F4130" i="2"/>
  <c r="I4130" i="2"/>
  <c r="J4130" i="2"/>
  <c r="K4130" i="2"/>
  <c r="M4130" i="2" s="1"/>
  <c r="C4129" i="2"/>
  <c r="D4129" i="2"/>
  <c r="F4129" i="2"/>
  <c r="I4129" i="2"/>
  <c r="J4129" i="2"/>
  <c r="C4128" i="2"/>
  <c r="D4128" i="2"/>
  <c r="F4128" i="2"/>
  <c r="I4128" i="2"/>
  <c r="J4128" i="2"/>
  <c r="K4128" i="2"/>
  <c r="M4128" i="2" s="1"/>
  <c r="C4127" i="2"/>
  <c r="D4127" i="2"/>
  <c r="F4127" i="2"/>
  <c r="I4127" i="2"/>
  <c r="J4127" i="2"/>
  <c r="K4127" i="2"/>
  <c r="M4127" i="2" s="1"/>
  <c r="C4126" i="2"/>
  <c r="D4126" i="2"/>
  <c r="F4126" i="2"/>
  <c r="I4126" i="2"/>
  <c r="J4126" i="2"/>
  <c r="K4126" i="2"/>
  <c r="M4126" i="2" s="1"/>
  <c r="C4125" i="2"/>
  <c r="D4125" i="2"/>
  <c r="F4125" i="2"/>
  <c r="I4125" i="2"/>
  <c r="J4125" i="2"/>
  <c r="C4124" i="2"/>
  <c r="D4124" i="2"/>
  <c r="F4124" i="2"/>
  <c r="I4124" i="2"/>
  <c r="J4124" i="2"/>
  <c r="C4123" i="2"/>
  <c r="D4123" i="2"/>
  <c r="F4123" i="2"/>
  <c r="I4123" i="2"/>
  <c r="J4123" i="2"/>
  <c r="C4122" i="2"/>
  <c r="D4122" i="2"/>
  <c r="F4122" i="2"/>
  <c r="I4122" i="2"/>
  <c r="J4122" i="2"/>
  <c r="K4122" i="2"/>
  <c r="M4122" i="2" s="1"/>
  <c r="I93" i="10"/>
  <c r="K4195" i="2" s="1"/>
  <c r="I33" i="10"/>
  <c r="I182" i="10"/>
  <c r="K4346" i="2" s="1"/>
  <c r="F33" i="10"/>
  <c r="G33" i="10"/>
  <c r="C972" i="1"/>
  <c r="D972" i="1"/>
  <c r="E972" i="1"/>
  <c r="G972" i="1"/>
  <c r="J972" i="1"/>
  <c r="L972" i="1"/>
  <c r="C971" i="1"/>
  <c r="D971" i="1"/>
  <c r="E971" i="1"/>
  <c r="G971" i="1"/>
  <c r="J971" i="1"/>
  <c r="L971" i="1"/>
  <c r="C970" i="1"/>
  <c r="D970" i="1"/>
  <c r="E970" i="1"/>
  <c r="G970" i="1"/>
  <c r="J970" i="1"/>
  <c r="L970" i="1"/>
  <c r="C968" i="1"/>
  <c r="C969" i="1"/>
  <c r="D968" i="1"/>
  <c r="D969" i="1"/>
  <c r="E968" i="1"/>
  <c r="E969" i="1"/>
  <c r="G968" i="1"/>
  <c r="G969" i="1"/>
  <c r="J968" i="1"/>
  <c r="J969" i="1"/>
  <c r="L968" i="1"/>
  <c r="L969" i="1"/>
  <c r="F93" i="10"/>
  <c r="G93" i="10"/>
  <c r="F182" i="10"/>
  <c r="G182" i="10"/>
  <c r="M4265" i="2" l="1"/>
  <c r="N4265" i="2" s="1"/>
  <c r="K4300" i="2"/>
  <c r="M4300" i="2" s="1"/>
  <c r="N4300" i="2" s="1"/>
  <c r="K4385" i="2"/>
  <c r="M4377" i="2"/>
  <c r="N4377" i="2" s="1"/>
  <c r="M4350" i="2"/>
  <c r="N4350" i="2" s="1"/>
  <c r="M4346" i="2"/>
  <c r="N4346" i="2" s="1"/>
  <c r="M4319" i="2"/>
  <c r="N4319" i="2" s="1"/>
  <c r="K4242" i="2"/>
  <c r="M4242" i="2" s="1"/>
  <c r="N4242" i="2" s="1"/>
  <c r="K4291" i="2"/>
  <c r="K4261" i="2"/>
  <c r="K4286" i="2"/>
  <c r="M4271" i="2"/>
  <c r="N4271" i="2" s="1"/>
  <c r="K4255" i="2"/>
  <c r="M4255" i="2" s="1"/>
  <c r="N4255" i="2" s="1"/>
  <c r="K4259" i="2"/>
  <c r="M4259" i="2" s="1"/>
  <c r="M4254" i="2"/>
  <c r="N4254" i="2" s="1"/>
  <c r="M4246" i="2"/>
  <c r="N4246" i="2" s="1"/>
  <c r="K4207" i="2"/>
  <c r="M4207" i="2" s="1"/>
  <c r="N4207" i="2" s="1"/>
  <c r="K4235" i="2"/>
  <c r="K4181" i="2"/>
  <c r="M4181" i="2" s="1"/>
  <c r="N4181" i="2" s="1"/>
  <c r="K4201" i="2"/>
  <c r="J8" i="10"/>
  <c r="M8" i="10" s="1"/>
  <c r="M4195" i="2"/>
  <c r="N4195" i="2" s="1"/>
  <c r="J166" i="10"/>
  <c r="M166" i="10" s="1"/>
  <c r="L188" i="10"/>
  <c r="M188" i="10" s="1"/>
  <c r="K4157" i="2"/>
  <c r="M4157" i="2" s="1"/>
  <c r="N4157" i="2" s="1"/>
  <c r="K4162" i="2"/>
  <c r="K4140" i="2"/>
  <c r="M4140" i="2" s="1"/>
  <c r="K4159" i="2"/>
  <c r="J197" i="10"/>
  <c r="M197" i="10" s="1"/>
  <c r="J65" i="10"/>
  <c r="M65" i="10" s="1"/>
  <c r="M972" i="1"/>
  <c r="H22" i="10"/>
  <c r="L22" i="10" s="1"/>
  <c r="H168" i="10"/>
  <c r="L168" i="10" s="1"/>
  <c r="N4153" i="2"/>
  <c r="K4154" i="2"/>
  <c r="N4152" i="2"/>
  <c r="M4147" i="2"/>
  <c r="N4147" i="2" s="1"/>
  <c r="M4148" i="2"/>
  <c r="N4148" i="2" s="1"/>
  <c r="K4150" i="2"/>
  <c r="N4145" i="2"/>
  <c r="N4144" i="2"/>
  <c r="M4141" i="2"/>
  <c r="N4141" i="2" s="1"/>
  <c r="N4142" i="2"/>
  <c r="N4137" i="2"/>
  <c r="N4138" i="2"/>
  <c r="N4136" i="2"/>
  <c r="N4134" i="2"/>
  <c r="N4130" i="2"/>
  <c r="N4132" i="2"/>
  <c r="N4133" i="2"/>
  <c r="N4127" i="2"/>
  <c r="N4126" i="2"/>
  <c r="N4128" i="2"/>
  <c r="N4122" i="2"/>
  <c r="H33" i="10"/>
  <c r="L33" i="10" s="1"/>
  <c r="M971" i="1"/>
  <c r="M970" i="1"/>
  <c r="M969" i="1"/>
  <c r="M968" i="1"/>
  <c r="H93" i="10"/>
  <c r="L93" i="10" s="1"/>
  <c r="H182" i="10"/>
  <c r="J182" i="10" s="1"/>
  <c r="M4261" i="2" l="1"/>
  <c r="N4261" i="2" s="1"/>
  <c r="M4385" i="2"/>
  <c r="N4385" i="2" s="1"/>
  <c r="M4291" i="2"/>
  <c r="N4291" i="2" s="1"/>
  <c r="M4286" i="2"/>
  <c r="N4286" i="2" s="1"/>
  <c r="N4259" i="2"/>
  <c r="M4235" i="2"/>
  <c r="N4235" i="2" s="1"/>
  <c r="M4201" i="2"/>
  <c r="N4201" i="2" s="1"/>
  <c r="N4140" i="2"/>
  <c r="M4162" i="2"/>
  <c r="N4162" i="2" s="1"/>
  <c r="M4159" i="2"/>
  <c r="N4159" i="2" s="1"/>
  <c r="J22" i="10"/>
  <c r="M22" i="10" s="1"/>
  <c r="J168" i="10"/>
  <c r="M168" i="10" s="1"/>
  <c r="M4154" i="2"/>
  <c r="N4154" i="2" s="1"/>
  <c r="M4150" i="2"/>
  <c r="N4150" i="2" s="1"/>
  <c r="J33" i="10"/>
  <c r="M33" i="10" s="1"/>
  <c r="J93" i="10"/>
  <c r="M93" i="10" s="1"/>
  <c r="L182" i="10"/>
  <c r="M182" i="10" s="1"/>
  <c r="C4121" i="2"/>
  <c r="D4121" i="2"/>
  <c r="F4121" i="2"/>
  <c r="I4121" i="2"/>
  <c r="J4121" i="2"/>
  <c r="K4121" i="2"/>
  <c r="M4121" i="2" s="1"/>
  <c r="C4120" i="2"/>
  <c r="D4120" i="2"/>
  <c r="F4120" i="2"/>
  <c r="I4120" i="2"/>
  <c r="J4120" i="2"/>
  <c r="C4119" i="2"/>
  <c r="D4119" i="2"/>
  <c r="F4119" i="2"/>
  <c r="I4119" i="2"/>
  <c r="J4119" i="2"/>
  <c r="C4118" i="2"/>
  <c r="D4118" i="2"/>
  <c r="F4118" i="2"/>
  <c r="I4118" i="2"/>
  <c r="J4118" i="2"/>
  <c r="C4117" i="2"/>
  <c r="D4117" i="2"/>
  <c r="F4117" i="2"/>
  <c r="I4117" i="2"/>
  <c r="J4117" i="2"/>
  <c r="K4117" i="2"/>
  <c r="M4117" i="2" s="1"/>
  <c r="C4116" i="2"/>
  <c r="D4116" i="2"/>
  <c r="F4116" i="2"/>
  <c r="I4116" i="2"/>
  <c r="J4116" i="2"/>
  <c r="C4115" i="2"/>
  <c r="D4115" i="2"/>
  <c r="F4115" i="2"/>
  <c r="I4115" i="2"/>
  <c r="J4115" i="2"/>
  <c r="K4115" i="2"/>
  <c r="M4115" i="2" s="1"/>
  <c r="C4114" i="2"/>
  <c r="D4114" i="2"/>
  <c r="F4114" i="2"/>
  <c r="I4114" i="2"/>
  <c r="J4114" i="2"/>
  <c r="C4113" i="2"/>
  <c r="D4113" i="2"/>
  <c r="F4113" i="2"/>
  <c r="I4113" i="2"/>
  <c r="J4113" i="2"/>
  <c r="K4113" i="2"/>
  <c r="C4112" i="2"/>
  <c r="D4112" i="2"/>
  <c r="F4112" i="2"/>
  <c r="I4112" i="2"/>
  <c r="J4112" i="2"/>
  <c r="K4112" i="2"/>
  <c r="M4112" i="2" s="1"/>
  <c r="C4111" i="2"/>
  <c r="D4111" i="2"/>
  <c r="F4111" i="2"/>
  <c r="I4111" i="2"/>
  <c r="J4111" i="2"/>
  <c r="K4111" i="2"/>
  <c r="M4111" i="2" s="1"/>
  <c r="C4110" i="2"/>
  <c r="D4110" i="2"/>
  <c r="F4110" i="2"/>
  <c r="I4110" i="2"/>
  <c r="J4110" i="2"/>
  <c r="K4110" i="2"/>
  <c r="C4109" i="2"/>
  <c r="D4109" i="2"/>
  <c r="F4109" i="2"/>
  <c r="I4109" i="2"/>
  <c r="J4109" i="2"/>
  <c r="C4108" i="2"/>
  <c r="D4108" i="2"/>
  <c r="F4108" i="2"/>
  <c r="I4108" i="2"/>
  <c r="J4108" i="2"/>
  <c r="K4108" i="2"/>
  <c r="C4107" i="2"/>
  <c r="D4107" i="2"/>
  <c r="F4107" i="2"/>
  <c r="I4107" i="2"/>
  <c r="J4107" i="2"/>
  <c r="C4106" i="2"/>
  <c r="D4106" i="2"/>
  <c r="F4106" i="2"/>
  <c r="I4106" i="2"/>
  <c r="J4106" i="2"/>
  <c r="G4095" i="2"/>
  <c r="G4082" i="2"/>
  <c r="C4105" i="2"/>
  <c r="D4105" i="2"/>
  <c r="F4105" i="2"/>
  <c r="I4105" i="2"/>
  <c r="J4105" i="2"/>
  <c r="K4105" i="2"/>
  <c r="M4105" i="2" s="1"/>
  <c r="C4104" i="2"/>
  <c r="D4104" i="2"/>
  <c r="F4104" i="2"/>
  <c r="I4104" i="2"/>
  <c r="J4104" i="2"/>
  <c r="C4103" i="2"/>
  <c r="D4103" i="2"/>
  <c r="F4103" i="2"/>
  <c r="I4103" i="2"/>
  <c r="J4103" i="2"/>
  <c r="K4103" i="2"/>
  <c r="M4103" i="2" s="1"/>
  <c r="I966" i="1"/>
  <c r="H966" i="1"/>
  <c r="C966" i="1"/>
  <c r="D966" i="1"/>
  <c r="E966" i="1"/>
  <c r="G966" i="1"/>
  <c r="J966" i="1"/>
  <c r="L966" i="1"/>
  <c r="C965" i="1"/>
  <c r="D965" i="1"/>
  <c r="E965" i="1"/>
  <c r="G965" i="1"/>
  <c r="J965" i="1"/>
  <c r="L965" i="1"/>
  <c r="F137" i="10"/>
  <c r="G137" i="10"/>
  <c r="C4102" i="2"/>
  <c r="D4102" i="2"/>
  <c r="F4102" i="2"/>
  <c r="I4102" i="2"/>
  <c r="J4102" i="2"/>
  <c r="K4102" i="2"/>
  <c r="M4102" i="2" s="1"/>
  <c r="C4101" i="2"/>
  <c r="D4101" i="2"/>
  <c r="F4101" i="2"/>
  <c r="I4101" i="2"/>
  <c r="J4101" i="2"/>
  <c r="K4101" i="2"/>
  <c r="M4101" i="2" s="1"/>
  <c r="C4100" i="2"/>
  <c r="D4100" i="2"/>
  <c r="F4100" i="2"/>
  <c r="I4100" i="2"/>
  <c r="J4100" i="2"/>
  <c r="K4100" i="2"/>
  <c r="M4100" i="2" s="1"/>
  <c r="C4099" i="2"/>
  <c r="D4099" i="2"/>
  <c r="F4099" i="2"/>
  <c r="I4099" i="2"/>
  <c r="J4099" i="2"/>
  <c r="K4099" i="2"/>
  <c r="M4099" i="2" s="1"/>
  <c r="C4098" i="2"/>
  <c r="D4098" i="2"/>
  <c r="F4098" i="2"/>
  <c r="I4098" i="2"/>
  <c r="J4098" i="2"/>
  <c r="K4098" i="2"/>
  <c r="M4098" i="2" s="1"/>
  <c r="C4097" i="2"/>
  <c r="D4097" i="2"/>
  <c r="F4097" i="2"/>
  <c r="I4097" i="2"/>
  <c r="J4097" i="2"/>
  <c r="C4096" i="2"/>
  <c r="D4096" i="2"/>
  <c r="F4096" i="2"/>
  <c r="I4096" i="2"/>
  <c r="J4096" i="2"/>
  <c r="C4095" i="2"/>
  <c r="D4095" i="2"/>
  <c r="F4095" i="2"/>
  <c r="I4095" i="2"/>
  <c r="J4095" i="2"/>
  <c r="K4095" i="2"/>
  <c r="M4095" i="2" s="1"/>
  <c r="C4094" i="2"/>
  <c r="D4094" i="2"/>
  <c r="F4094" i="2"/>
  <c r="I4094" i="2"/>
  <c r="J4094" i="2"/>
  <c r="C4093" i="2"/>
  <c r="D4093" i="2"/>
  <c r="F4093" i="2"/>
  <c r="I4093" i="2"/>
  <c r="J4093" i="2"/>
  <c r="K4093" i="2"/>
  <c r="M4093" i="2" s="1"/>
  <c r="F10" i="10"/>
  <c r="G10" i="10"/>
  <c r="C4092" i="2"/>
  <c r="D4092" i="2"/>
  <c r="F4092" i="2"/>
  <c r="I4092" i="2"/>
  <c r="J4092" i="2"/>
  <c r="C4091" i="2"/>
  <c r="D4091" i="2"/>
  <c r="F4091" i="2"/>
  <c r="I4091" i="2"/>
  <c r="J4091" i="2"/>
  <c r="K4091" i="2"/>
  <c r="M4091" i="2" s="1"/>
  <c r="C4090" i="2"/>
  <c r="D4090" i="2"/>
  <c r="F4090" i="2"/>
  <c r="I4090" i="2"/>
  <c r="J4090" i="2"/>
  <c r="K4090" i="2"/>
  <c r="M4090" i="2" s="1"/>
  <c r="C4089" i="2"/>
  <c r="D4089" i="2"/>
  <c r="F4089" i="2"/>
  <c r="I4089" i="2"/>
  <c r="J4089" i="2"/>
  <c r="K4089" i="2"/>
  <c r="M4089" i="2" s="1"/>
  <c r="C4088" i="2"/>
  <c r="D4088" i="2"/>
  <c r="F4088" i="2"/>
  <c r="I4088" i="2"/>
  <c r="J4088" i="2"/>
  <c r="K4088" i="2"/>
  <c r="M4088" i="2" s="1"/>
  <c r="C4087" i="2"/>
  <c r="D4087" i="2"/>
  <c r="F4087" i="2"/>
  <c r="I4087" i="2"/>
  <c r="J4087" i="2"/>
  <c r="C4086" i="2"/>
  <c r="D4086" i="2"/>
  <c r="F4086" i="2"/>
  <c r="I4086" i="2"/>
  <c r="J4086" i="2"/>
  <c r="C4085" i="2"/>
  <c r="D4085" i="2"/>
  <c r="F4085" i="2"/>
  <c r="I4085" i="2"/>
  <c r="J4085" i="2"/>
  <c r="K4085" i="2"/>
  <c r="M4085" i="2" s="1"/>
  <c r="C4084" i="2"/>
  <c r="D4084" i="2"/>
  <c r="F4084" i="2"/>
  <c r="I4084" i="2"/>
  <c r="J4084" i="2"/>
  <c r="K4084" i="2"/>
  <c r="M4084" i="2" s="1"/>
  <c r="C4083" i="2"/>
  <c r="D4083" i="2"/>
  <c r="F4083" i="2"/>
  <c r="I4083" i="2"/>
  <c r="J4083" i="2"/>
  <c r="K4083" i="2"/>
  <c r="M4083" i="2" s="1"/>
  <c r="C4082" i="2"/>
  <c r="D4082" i="2"/>
  <c r="F4082" i="2"/>
  <c r="I4082" i="2"/>
  <c r="J4082" i="2"/>
  <c r="K4082" i="2"/>
  <c r="M4082" i="2" s="1"/>
  <c r="G4068" i="2"/>
  <c r="I4068" i="2" s="1"/>
  <c r="C4081" i="2"/>
  <c r="D4081" i="2"/>
  <c r="F4081" i="2"/>
  <c r="I4081" i="2"/>
  <c r="J4081" i="2"/>
  <c r="K4081" i="2"/>
  <c r="M4081" i="2" s="1"/>
  <c r="C4080" i="2"/>
  <c r="D4080" i="2"/>
  <c r="F4080" i="2"/>
  <c r="I4080" i="2"/>
  <c r="J4080" i="2"/>
  <c r="K4080" i="2"/>
  <c r="M4080" i="2" s="1"/>
  <c r="C4079" i="2"/>
  <c r="D4079" i="2"/>
  <c r="F4079" i="2"/>
  <c r="I4079" i="2"/>
  <c r="J4079" i="2"/>
  <c r="K4079" i="2"/>
  <c r="M4079" i="2" s="1"/>
  <c r="C4078" i="2"/>
  <c r="D4078" i="2"/>
  <c r="F4078" i="2"/>
  <c r="I4078" i="2"/>
  <c r="J4078" i="2"/>
  <c r="K4078" i="2"/>
  <c r="M4078" i="2" s="1"/>
  <c r="C4077" i="2"/>
  <c r="D4077" i="2"/>
  <c r="F4077" i="2"/>
  <c r="I4077" i="2"/>
  <c r="J4077" i="2"/>
  <c r="K4077" i="2"/>
  <c r="M4077" i="2" s="1"/>
  <c r="C4076" i="2"/>
  <c r="D4076" i="2"/>
  <c r="F4076" i="2"/>
  <c r="I4076" i="2"/>
  <c r="J4076" i="2"/>
  <c r="K4076" i="2"/>
  <c r="C4075" i="2"/>
  <c r="D4075" i="2"/>
  <c r="F4075" i="2"/>
  <c r="I4075" i="2"/>
  <c r="J4075" i="2"/>
  <c r="C4074" i="2"/>
  <c r="D4074" i="2"/>
  <c r="F4074" i="2"/>
  <c r="I4074" i="2"/>
  <c r="J4074" i="2"/>
  <c r="K4074" i="2"/>
  <c r="M4074" i="2" s="1"/>
  <c r="C4073" i="2"/>
  <c r="D4073" i="2"/>
  <c r="F4073" i="2"/>
  <c r="I4073" i="2"/>
  <c r="J4073" i="2"/>
  <c r="K4073" i="2"/>
  <c r="M4073" i="2" s="1"/>
  <c r="C4072" i="2"/>
  <c r="D4072" i="2"/>
  <c r="F4072" i="2"/>
  <c r="I4072" i="2"/>
  <c r="J4072" i="2"/>
  <c r="K4072" i="2"/>
  <c r="C4071" i="2"/>
  <c r="D4071" i="2"/>
  <c r="F4071" i="2"/>
  <c r="I4071" i="2"/>
  <c r="J4071" i="2"/>
  <c r="C4070" i="2"/>
  <c r="D4070" i="2"/>
  <c r="F4070" i="2"/>
  <c r="I4070" i="2"/>
  <c r="J4070" i="2"/>
  <c r="K4070" i="2"/>
  <c r="C4069" i="2"/>
  <c r="D4069" i="2"/>
  <c r="F4069" i="2"/>
  <c r="I4069" i="2"/>
  <c r="J4069" i="2"/>
  <c r="K4069" i="2"/>
  <c r="M4069" i="2" s="1"/>
  <c r="C4068" i="2"/>
  <c r="D4068" i="2"/>
  <c r="F4068" i="2"/>
  <c r="J4068" i="2"/>
  <c r="C4067" i="2"/>
  <c r="D4067" i="2"/>
  <c r="F4067" i="2"/>
  <c r="I4067" i="2"/>
  <c r="J4067" i="2"/>
  <c r="C4066" i="2"/>
  <c r="D4066" i="2"/>
  <c r="F4066" i="2"/>
  <c r="I4066" i="2"/>
  <c r="J4066" i="2"/>
  <c r="K4066" i="2"/>
  <c r="M4066" i="2" s="1"/>
  <c r="C4065" i="2"/>
  <c r="D4065" i="2"/>
  <c r="F4065" i="2"/>
  <c r="I4065" i="2"/>
  <c r="J4065" i="2"/>
  <c r="K4065" i="2"/>
  <c r="C4064" i="2"/>
  <c r="D4064" i="2"/>
  <c r="F4064" i="2"/>
  <c r="I4064" i="2"/>
  <c r="J4064" i="2"/>
  <c r="K4064" i="2"/>
  <c r="F4053" i="2"/>
  <c r="G4053" i="2"/>
  <c r="I4053" i="2" s="1"/>
  <c r="C4053" i="2"/>
  <c r="D4053" i="2"/>
  <c r="J4053" i="2"/>
  <c r="K4053" i="2"/>
  <c r="C4063" i="2"/>
  <c r="D4063" i="2"/>
  <c r="F4063" i="2"/>
  <c r="I4063" i="2"/>
  <c r="J4063" i="2"/>
  <c r="K4063" i="2"/>
  <c r="M4063" i="2" s="1"/>
  <c r="C4062" i="2"/>
  <c r="D4062" i="2"/>
  <c r="F4062" i="2"/>
  <c r="I4062" i="2"/>
  <c r="J4062" i="2"/>
  <c r="K4062" i="2"/>
  <c r="M4062" i="2" s="1"/>
  <c r="G4058" i="2"/>
  <c r="I4058" i="2" s="1"/>
  <c r="C4061" i="2"/>
  <c r="D4061" i="2"/>
  <c r="F4061" i="2"/>
  <c r="I4061" i="2"/>
  <c r="J4061" i="2"/>
  <c r="K4061" i="2"/>
  <c r="C4060" i="2"/>
  <c r="D4060" i="2"/>
  <c r="F4060" i="2"/>
  <c r="I4060" i="2"/>
  <c r="J4060" i="2"/>
  <c r="K4060" i="2"/>
  <c r="C4059" i="2"/>
  <c r="D4059" i="2"/>
  <c r="F4059" i="2"/>
  <c r="I4059" i="2"/>
  <c r="J4059" i="2"/>
  <c r="K4059" i="2"/>
  <c r="M4059" i="2" s="1"/>
  <c r="C4058" i="2"/>
  <c r="D4058" i="2"/>
  <c r="F4058" i="2"/>
  <c r="J4058" i="2"/>
  <c r="K4058" i="2"/>
  <c r="C4057" i="2"/>
  <c r="D4057" i="2"/>
  <c r="F4057" i="2"/>
  <c r="I4057" i="2"/>
  <c r="J4057" i="2"/>
  <c r="K4057" i="2"/>
  <c r="C4056" i="2"/>
  <c r="D4056" i="2"/>
  <c r="F4056" i="2"/>
  <c r="I4056" i="2"/>
  <c r="J4056" i="2"/>
  <c r="K4056" i="2"/>
  <c r="C4055" i="2"/>
  <c r="D4055" i="2"/>
  <c r="F4055" i="2"/>
  <c r="I4055" i="2"/>
  <c r="J4055" i="2"/>
  <c r="K4055" i="2"/>
  <c r="M4055" i="2" s="1"/>
  <c r="C4054" i="2"/>
  <c r="D4054" i="2"/>
  <c r="F4054" i="2"/>
  <c r="I4054" i="2"/>
  <c r="J4054" i="2"/>
  <c r="K4054" i="2"/>
  <c r="M4054" i="2" s="1"/>
  <c r="C4052" i="2"/>
  <c r="D4052" i="2"/>
  <c r="F4052" i="2"/>
  <c r="I4052" i="2"/>
  <c r="J4052" i="2"/>
  <c r="K4052" i="2"/>
  <c r="M4052" i="2" s="1"/>
  <c r="C4051" i="2"/>
  <c r="D4051" i="2"/>
  <c r="F4051" i="2"/>
  <c r="I4051" i="2"/>
  <c r="J4051" i="2"/>
  <c r="C4050" i="2"/>
  <c r="D4050" i="2"/>
  <c r="F4050" i="2"/>
  <c r="I4050" i="2"/>
  <c r="J4050" i="2"/>
  <c r="M4050" i="2"/>
  <c r="C4049" i="2"/>
  <c r="D4049" i="2"/>
  <c r="F4049" i="2"/>
  <c r="I4049" i="2"/>
  <c r="J4049" i="2"/>
  <c r="C4048" i="2"/>
  <c r="D4048" i="2"/>
  <c r="F4048" i="2"/>
  <c r="I4048" i="2"/>
  <c r="J4048" i="2"/>
  <c r="K4048" i="2"/>
  <c r="M4048" i="2" s="1"/>
  <c r="C4046" i="2"/>
  <c r="C4047" i="2"/>
  <c r="D4046" i="2"/>
  <c r="D4047" i="2"/>
  <c r="F4046" i="2"/>
  <c r="F4047" i="2"/>
  <c r="I4046" i="2"/>
  <c r="I4047" i="2"/>
  <c r="J4046" i="2"/>
  <c r="J4047" i="2"/>
  <c r="K4046" i="2"/>
  <c r="M4046" i="2" s="1"/>
  <c r="I6" i="10"/>
  <c r="K4367" i="2" s="1"/>
  <c r="I4" i="10"/>
  <c r="K4373" i="2" s="1"/>
  <c r="I14" i="10"/>
  <c r="K4206" i="2" s="1"/>
  <c r="I17" i="10"/>
  <c r="K4279" i="2" s="1"/>
  <c r="I56" i="10"/>
  <c r="I61" i="10"/>
  <c r="I74" i="10"/>
  <c r="I23" i="10"/>
  <c r="I92" i="10"/>
  <c r="I47" i="10"/>
  <c r="I160" i="10"/>
  <c r="K4273" i="2" s="1"/>
  <c r="C947" i="1"/>
  <c r="D947" i="1"/>
  <c r="E947" i="1"/>
  <c r="G947" i="1"/>
  <c r="J947" i="1"/>
  <c r="L947" i="1"/>
  <c r="C946" i="1"/>
  <c r="D946" i="1"/>
  <c r="E946" i="1"/>
  <c r="G946" i="1"/>
  <c r="J946" i="1"/>
  <c r="L946" i="1"/>
  <c r="F47" i="10"/>
  <c r="G47" i="10"/>
  <c r="F92" i="10"/>
  <c r="G92" i="10"/>
  <c r="C945" i="1"/>
  <c r="D945" i="1"/>
  <c r="E945" i="1"/>
  <c r="G945" i="1"/>
  <c r="J945" i="1"/>
  <c r="L945" i="1"/>
  <c r="C962" i="1"/>
  <c r="C963" i="1"/>
  <c r="D962" i="1"/>
  <c r="D963" i="1"/>
  <c r="E962" i="1"/>
  <c r="E963" i="1"/>
  <c r="G962" i="1"/>
  <c r="G963" i="1"/>
  <c r="J962" i="1"/>
  <c r="J963" i="1"/>
  <c r="L962" i="1"/>
  <c r="L963" i="1"/>
  <c r="F23" i="10"/>
  <c r="G23" i="10"/>
  <c r="F74" i="10"/>
  <c r="G74" i="10"/>
  <c r="C961" i="1"/>
  <c r="D961" i="1"/>
  <c r="E961" i="1"/>
  <c r="G961" i="1"/>
  <c r="J961" i="1"/>
  <c r="L961" i="1"/>
  <c r="C960" i="1"/>
  <c r="D960" i="1"/>
  <c r="E960" i="1"/>
  <c r="G960" i="1"/>
  <c r="J960" i="1"/>
  <c r="L960" i="1"/>
  <c r="C959" i="1"/>
  <c r="D959" i="1"/>
  <c r="E959" i="1"/>
  <c r="G959" i="1"/>
  <c r="J959" i="1"/>
  <c r="L959" i="1"/>
  <c r="F61" i="10"/>
  <c r="G61" i="10"/>
  <c r="F56" i="10"/>
  <c r="G56" i="10"/>
  <c r="C956" i="1"/>
  <c r="D956" i="1"/>
  <c r="E956" i="1"/>
  <c r="G956" i="1"/>
  <c r="J956" i="1"/>
  <c r="L956" i="1"/>
  <c r="F17" i="10"/>
  <c r="G17" i="10"/>
  <c r="F14" i="10"/>
  <c r="G14" i="10"/>
  <c r="C953" i="1"/>
  <c r="C954" i="1"/>
  <c r="D953" i="1"/>
  <c r="D954" i="1"/>
  <c r="E953" i="1"/>
  <c r="E954" i="1"/>
  <c r="G953" i="1"/>
  <c r="G954" i="1"/>
  <c r="J953" i="1"/>
  <c r="J954" i="1"/>
  <c r="L953" i="1"/>
  <c r="L954" i="1"/>
  <c r="C955" i="1"/>
  <c r="D955" i="1"/>
  <c r="E955" i="1"/>
  <c r="G955" i="1"/>
  <c r="J955" i="1"/>
  <c r="L955" i="1"/>
  <c r="C957" i="1"/>
  <c r="D957" i="1"/>
  <c r="E957" i="1"/>
  <c r="G957" i="1"/>
  <c r="J957" i="1"/>
  <c r="L957" i="1"/>
  <c r="C958" i="1"/>
  <c r="D958" i="1"/>
  <c r="E958" i="1"/>
  <c r="G958" i="1"/>
  <c r="J958" i="1"/>
  <c r="L958" i="1"/>
  <c r="C952" i="1"/>
  <c r="D952" i="1"/>
  <c r="E952" i="1"/>
  <c r="G952" i="1"/>
  <c r="J952" i="1"/>
  <c r="L952" i="1"/>
  <c r="C951" i="1"/>
  <c r="D951" i="1"/>
  <c r="E951" i="1"/>
  <c r="G951" i="1"/>
  <c r="J951" i="1"/>
  <c r="L951" i="1"/>
  <c r="C967" i="1"/>
  <c r="D967" i="1"/>
  <c r="E967" i="1"/>
  <c r="G967" i="1"/>
  <c r="J967" i="1"/>
  <c r="L967" i="1"/>
  <c r="F4" i="10"/>
  <c r="G4" i="10"/>
  <c r="C938" i="1"/>
  <c r="E938" i="1"/>
  <c r="G938" i="1"/>
  <c r="J938" i="1"/>
  <c r="L938" i="1"/>
  <c r="C964" i="1"/>
  <c r="E964" i="1"/>
  <c r="G964" i="1"/>
  <c r="J964" i="1"/>
  <c r="L964" i="1"/>
  <c r="M4373" i="2" l="1"/>
  <c r="N4373" i="2" s="1"/>
  <c r="K4180" i="2"/>
  <c r="M4180" i="2" s="1"/>
  <c r="N4180" i="2" s="1"/>
  <c r="K4369" i="2"/>
  <c r="M4369" i="2" s="1"/>
  <c r="N4369" i="2" s="1"/>
  <c r="M4367" i="2"/>
  <c r="N4367" i="2" s="1"/>
  <c r="K4333" i="2"/>
  <c r="M4333" i="2" s="1"/>
  <c r="N4333" i="2" s="1"/>
  <c r="K4356" i="2"/>
  <c r="K4309" i="2"/>
  <c r="M4309" i="2" s="1"/>
  <c r="N4309" i="2" s="1"/>
  <c r="K4347" i="2"/>
  <c r="K4253" i="2"/>
  <c r="M4253" i="2" s="1"/>
  <c r="N4253" i="2" s="1"/>
  <c r="K4312" i="2"/>
  <c r="K4204" i="2"/>
  <c r="M4204" i="2" s="1"/>
  <c r="N4204" i="2" s="1"/>
  <c r="K4304" i="2"/>
  <c r="M4279" i="2"/>
  <c r="N4279" i="2" s="1"/>
  <c r="M4273" i="2"/>
  <c r="N4273" i="2" s="1"/>
  <c r="K4149" i="2"/>
  <c r="M4149" i="2" s="1"/>
  <c r="N4149" i="2" s="1"/>
  <c r="K4236" i="2"/>
  <c r="K4222" i="2"/>
  <c r="M4222" i="2" s="1"/>
  <c r="N4222" i="2" s="1"/>
  <c r="K4233" i="2"/>
  <c r="K4067" i="2"/>
  <c r="M4067" i="2" s="1"/>
  <c r="K4211" i="2"/>
  <c r="M4206" i="2"/>
  <c r="N4206" i="2" s="1"/>
  <c r="K4129" i="2"/>
  <c r="M4129" i="2" s="1"/>
  <c r="N4129" i="2" s="1"/>
  <c r="K4177" i="2"/>
  <c r="K4143" i="2"/>
  <c r="M4143" i="2" s="1"/>
  <c r="N4143" i="2" s="1"/>
  <c r="K4151" i="2"/>
  <c r="K4118" i="2"/>
  <c r="M4118" i="2" s="1"/>
  <c r="N4118" i="2" s="1"/>
  <c r="K4135" i="2"/>
  <c r="K4092" i="2"/>
  <c r="M4092" i="2" s="1"/>
  <c r="N4092" i="2" s="1"/>
  <c r="K4124" i="2"/>
  <c r="N4121" i="2"/>
  <c r="K4120" i="2"/>
  <c r="N4115" i="2"/>
  <c r="N4117" i="2"/>
  <c r="M4113" i="2"/>
  <c r="N4113" i="2" s="1"/>
  <c r="M4108" i="2"/>
  <c r="N4108" i="2" s="1"/>
  <c r="K4114" i="2"/>
  <c r="N4112" i="2"/>
  <c r="M4110" i="2"/>
  <c r="N4110" i="2" s="1"/>
  <c r="N4111" i="2"/>
  <c r="N4099" i="2"/>
  <c r="N4101" i="2"/>
  <c r="N4105" i="2"/>
  <c r="K4107" i="2"/>
  <c r="M4058" i="2"/>
  <c r="N4058" i="2" s="1"/>
  <c r="N4103" i="2"/>
  <c r="N4098" i="2"/>
  <c r="N4100" i="2"/>
  <c r="N4102" i="2"/>
  <c r="M966" i="1"/>
  <c r="M965" i="1"/>
  <c r="H137" i="10"/>
  <c r="J137" i="10" s="1"/>
  <c r="N4095" i="2"/>
  <c r="K4094" i="2"/>
  <c r="N4093" i="2"/>
  <c r="H10" i="10"/>
  <c r="L10" i="10" s="1"/>
  <c r="N4089" i="2"/>
  <c r="N4091" i="2"/>
  <c r="N4088" i="2"/>
  <c r="N4090" i="2"/>
  <c r="N4085" i="2"/>
  <c r="N4084" i="2"/>
  <c r="N4083" i="2"/>
  <c r="K4086" i="2"/>
  <c r="N4082" i="2"/>
  <c r="M4076" i="2"/>
  <c r="N4076" i="2" s="1"/>
  <c r="N4078" i="2"/>
  <c r="M4072" i="2"/>
  <c r="N4072" i="2" s="1"/>
  <c r="M4065" i="2"/>
  <c r="N4065" i="2" s="1"/>
  <c r="M4061" i="2"/>
  <c r="N4061" i="2" s="1"/>
  <c r="M4057" i="2"/>
  <c r="N4057" i="2" s="1"/>
  <c r="M4053" i="2"/>
  <c r="N4053" i="2" s="1"/>
  <c r="N4074" i="2"/>
  <c r="N4069" i="2"/>
  <c r="N4063" i="2"/>
  <c r="N4059" i="2"/>
  <c r="N4055" i="2"/>
  <c r="M4070" i="2"/>
  <c r="N4070" i="2" s="1"/>
  <c r="M4064" i="2"/>
  <c r="N4064" i="2" s="1"/>
  <c r="M4060" i="2"/>
  <c r="N4060" i="2" s="1"/>
  <c r="M4056" i="2"/>
  <c r="N4056" i="2" s="1"/>
  <c r="N4081" i="2"/>
  <c r="N4077" i="2"/>
  <c r="N4073" i="2"/>
  <c r="N4066" i="2"/>
  <c r="N4062" i="2"/>
  <c r="N4054" i="2"/>
  <c r="N4050" i="2"/>
  <c r="N4046" i="2"/>
  <c r="N4080" i="2"/>
  <c r="N4079" i="2"/>
  <c r="N4052" i="2"/>
  <c r="N4048" i="2"/>
  <c r="K4068" i="2"/>
  <c r="M959" i="1"/>
  <c r="M963" i="1"/>
  <c r="M956" i="1"/>
  <c r="M947" i="1"/>
  <c r="M946" i="1"/>
  <c r="H92" i="10"/>
  <c r="L92" i="10" s="1"/>
  <c r="M945" i="1"/>
  <c r="H47" i="10"/>
  <c r="L47" i="10" s="1"/>
  <c r="M962" i="1"/>
  <c r="M961" i="1"/>
  <c r="M960" i="1"/>
  <c r="H23" i="10"/>
  <c r="L23" i="10" s="1"/>
  <c r="H74" i="10"/>
  <c r="L74" i="10" s="1"/>
  <c r="M954" i="1"/>
  <c r="H56" i="10"/>
  <c r="J56" i="10" s="1"/>
  <c r="M955" i="1"/>
  <c r="M957" i="1"/>
  <c r="H61" i="10"/>
  <c r="L61" i="10" s="1"/>
  <c r="H14" i="10"/>
  <c r="L14" i="10" s="1"/>
  <c r="M953" i="1"/>
  <c r="H17" i="10"/>
  <c r="L17" i="10" s="1"/>
  <c r="H4" i="10"/>
  <c r="L4" i="10" s="1"/>
  <c r="M951" i="1"/>
  <c r="M958" i="1"/>
  <c r="M952" i="1"/>
  <c r="M967" i="1"/>
  <c r="M938" i="1"/>
  <c r="M964" i="1"/>
  <c r="C4023" i="2"/>
  <c r="D4023" i="2"/>
  <c r="F4023" i="2"/>
  <c r="I4023" i="2"/>
  <c r="J4023" i="2"/>
  <c r="C4024" i="2"/>
  <c r="D4024" i="2"/>
  <c r="F4024" i="2"/>
  <c r="I4024" i="2"/>
  <c r="J4024" i="2"/>
  <c r="C4025" i="2"/>
  <c r="D4025" i="2"/>
  <c r="F4025" i="2"/>
  <c r="I4025" i="2"/>
  <c r="J4025" i="2"/>
  <c r="K4025" i="2"/>
  <c r="M4025" i="2" s="1"/>
  <c r="G4018" i="2"/>
  <c r="I4018" i="2" s="1"/>
  <c r="C4045" i="2"/>
  <c r="D4045" i="2"/>
  <c r="F4045" i="2"/>
  <c r="I4045" i="2"/>
  <c r="J4045" i="2"/>
  <c r="K4045" i="2"/>
  <c r="C4044" i="2"/>
  <c r="D4044" i="2"/>
  <c r="F4044" i="2"/>
  <c r="I4044" i="2"/>
  <c r="J4044" i="2"/>
  <c r="K4044" i="2"/>
  <c r="C4043" i="2"/>
  <c r="D4043" i="2"/>
  <c r="F4043" i="2"/>
  <c r="I4043" i="2"/>
  <c r="J4043" i="2"/>
  <c r="K4043" i="2"/>
  <c r="C4042" i="2"/>
  <c r="D4042" i="2"/>
  <c r="F4042" i="2"/>
  <c r="I4042" i="2"/>
  <c r="J4042" i="2"/>
  <c r="K4042" i="2"/>
  <c r="C4041" i="2"/>
  <c r="D4041" i="2"/>
  <c r="F4041" i="2"/>
  <c r="I4041" i="2"/>
  <c r="J4041" i="2"/>
  <c r="C4040" i="2"/>
  <c r="D4040" i="2"/>
  <c r="F4040" i="2"/>
  <c r="I4040" i="2"/>
  <c r="J4040" i="2"/>
  <c r="K4040" i="2"/>
  <c r="C4039" i="2"/>
  <c r="D4039" i="2"/>
  <c r="F4039" i="2"/>
  <c r="I4039" i="2"/>
  <c r="J4039" i="2"/>
  <c r="K4039" i="2"/>
  <c r="C4038" i="2"/>
  <c r="D4038" i="2"/>
  <c r="F4038" i="2"/>
  <c r="I4038" i="2"/>
  <c r="J4038" i="2"/>
  <c r="K4038" i="2"/>
  <c r="M4038" i="2" s="1"/>
  <c r="C4037" i="2"/>
  <c r="D4037" i="2"/>
  <c r="F4037" i="2"/>
  <c r="I4037" i="2"/>
  <c r="J4037" i="2"/>
  <c r="K4037" i="2"/>
  <c r="M4037" i="2" s="1"/>
  <c r="C4036" i="2"/>
  <c r="D4036" i="2"/>
  <c r="F4036" i="2"/>
  <c r="I4036" i="2"/>
  <c r="J4036" i="2"/>
  <c r="C4035" i="2"/>
  <c r="D4035" i="2"/>
  <c r="F4035" i="2"/>
  <c r="I4035" i="2"/>
  <c r="J4035" i="2"/>
  <c r="K4035" i="2"/>
  <c r="M4035" i="2" s="1"/>
  <c r="C4034" i="2"/>
  <c r="D4034" i="2"/>
  <c r="F4034" i="2"/>
  <c r="I4034" i="2"/>
  <c r="J4034" i="2"/>
  <c r="K4034" i="2"/>
  <c r="M4034" i="2" s="1"/>
  <c r="C4033" i="2"/>
  <c r="D4033" i="2"/>
  <c r="F4033" i="2"/>
  <c r="I4033" i="2"/>
  <c r="J4033" i="2"/>
  <c r="K4033" i="2"/>
  <c r="M4033" i="2" s="1"/>
  <c r="C4032" i="2"/>
  <c r="D4032" i="2"/>
  <c r="F4032" i="2"/>
  <c r="I4032" i="2"/>
  <c r="J4032" i="2"/>
  <c r="C4031" i="2"/>
  <c r="D4031" i="2"/>
  <c r="F4031" i="2"/>
  <c r="I4031" i="2"/>
  <c r="J4031" i="2"/>
  <c r="C4030" i="2"/>
  <c r="D4030" i="2"/>
  <c r="F4030" i="2"/>
  <c r="I4030" i="2"/>
  <c r="J4030" i="2"/>
  <c r="K4030" i="2"/>
  <c r="M4030" i="2" s="1"/>
  <c r="C4029" i="2"/>
  <c r="D4029" i="2"/>
  <c r="F4029" i="2"/>
  <c r="I4029" i="2"/>
  <c r="J4029" i="2"/>
  <c r="K4029" i="2"/>
  <c r="M4029" i="2" s="1"/>
  <c r="C4028" i="2"/>
  <c r="D4028" i="2"/>
  <c r="F4028" i="2"/>
  <c r="I4028" i="2"/>
  <c r="J4028" i="2"/>
  <c r="K4028" i="2"/>
  <c r="M4028" i="2" s="1"/>
  <c r="C4027" i="2"/>
  <c r="D4027" i="2"/>
  <c r="F4027" i="2"/>
  <c r="I4027" i="2"/>
  <c r="J4027" i="2"/>
  <c r="K4027" i="2"/>
  <c r="M4027" i="2" s="1"/>
  <c r="C4026" i="2"/>
  <c r="D4026" i="2"/>
  <c r="F4026" i="2"/>
  <c r="I4026" i="2"/>
  <c r="J4026" i="2"/>
  <c r="K4026" i="2"/>
  <c r="M4026" i="2" s="1"/>
  <c r="C4022" i="2"/>
  <c r="D4022" i="2"/>
  <c r="F4022" i="2"/>
  <c r="I4022" i="2"/>
  <c r="J4022" i="2"/>
  <c r="K4022" i="2"/>
  <c r="M4022" i="2" s="1"/>
  <c r="C4021" i="2"/>
  <c r="D4021" i="2"/>
  <c r="F4021" i="2"/>
  <c r="I4021" i="2"/>
  <c r="J4021" i="2"/>
  <c r="C4020" i="2"/>
  <c r="D4020" i="2"/>
  <c r="F4020" i="2"/>
  <c r="I4020" i="2"/>
  <c r="J4020" i="2"/>
  <c r="K4020" i="2"/>
  <c r="M4020" i="2" s="1"/>
  <c r="C4014" i="2"/>
  <c r="D4014" i="2"/>
  <c r="F4014" i="2"/>
  <c r="I4014" i="2"/>
  <c r="J4014" i="2"/>
  <c r="K4014" i="2"/>
  <c r="M4014" i="2" s="1"/>
  <c r="C4015" i="2"/>
  <c r="D4015" i="2"/>
  <c r="F4015" i="2"/>
  <c r="I4015" i="2"/>
  <c r="J4015" i="2"/>
  <c r="K4015" i="2"/>
  <c r="M4015" i="2" s="1"/>
  <c r="C4019" i="2"/>
  <c r="D4019" i="2"/>
  <c r="F4019" i="2"/>
  <c r="I4019" i="2"/>
  <c r="J4019" i="2"/>
  <c r="K4019" i="2"/>
  <c r="M4019" i="2" s="1"/>
  <c r="C4018" i="2"/>
  <c r="D4018" i="2"/>
  <c r="F4018" i="2"/>
  <c r="J4018" i="2"/>
  <c r="K4018" i="2"/>
  <c r="C4017" i="2"/>
  <c r="D4017" i="2"/>
  <c r="F4017" i="2"/>
  <c r="I4017" i="2"/>
  <c r="J4017" i="2"/>
  <c r="K4017" i="2"/>
  <c r="M4017" i="2" s="1"/>
  <c r="C4016" i="2"/>
  <c r="D4016" i="2"/>
  <c r="F4016" i="2"/>
  <c r="I4016" i="2"/>
  <c r="J4016" i="2"/>
  <c r="F6" i="10"/>
  <c r="G6" i="10"/>
  <c r="C949" i="1"/>
  <c r="C950" i="1"/>
  <c r="D949" i="1"/>
  <c r="D950" i="1"/>
  <c r="E949" i="1"/>
  <c r="E950" i="1"/>
  <c r="G949" i="1"/>
  <c r="G950" i="1"/>
  <c r="J949" i="1"/>
  <c r="J950" i="1"/>
  <c r="L949" i="1"/>
  <c r="L950" i="1"/>
  <c r="C948" i="1"/>
  <c r="D948" i="1"/>
  <c r="E948" i="1"/>
  <c r="G948" i="1"/>
  <c r="J948" i="1"/>
  <c r="L948" i="1"/>
  <c r="F160" i="10"/>
  <c r="G160" i="10"/>
  <c r="M4356" i="2" l="1"/>
  <c r="N4356" i="2" s="1"/>
  <c r="M4347" i="2"/>
  <c r="N4347" i="2" s="1"/>
  <c r="M4312" i="2"/>
  <c r="N4312" i="2" s="1"/>
  <c r="M4304" i="2"/>
  <c r="N4304" i="2" s="1"/>
  <c r="N4067" i="2"/>
  <c r="M4236" i="2"/>
  <c r="N4236" i="2" s="1"/>
  <c r="M4233" i="2"/>
  <c r="N4233" i="2" s="1"/>
  <c r="M4018" i="2"/>
  <c r="M4211" i="2"/>
  <c r="N4211" i="2" s="1"/>
  <c r="M4177" i="2"/>
  <c r="N4177" i="2" s="1"/>
  <c r="M4151" i="2"/>
  <c r="N4151" i="2" s="1"/>
  <c r="M4135" i="2"/>
  <c r="N4135" i="2" s="1"/>
  <c r="M4124" i="2"/>
  <c r="N4124" i="2" s="1"/>
  <c r="M4120" i="2"/>
  <c r="N4120" i="2" s="1"/>
  <c r="M4114" i="2"/>
  <c r="N4114" i="2" s="1"/>
  <c r="M4107" i="2"/>
  <c r="N4107" i="2" s="1"/>
  <c r="L137" i="10"/>
  <c r="M137" i="10" s="1"/>
  <c r="M4094" i="2"/>
  <c r="N4094" i="2" s="1"/>
  <c r="J10" i="10"/>
  <c r="M10" i="10" s="1"/>
  <c r="M4086" i="2"/>
  <c r="N4086" i="2" s="1"/>
  <c r="M4043" i="2"/>
  <c r="N4043" i="2" s="1"/>
  <c r="M4045" i="2"/>
  <c r="N4045" i="2" s="1"/>
  <c r="M4040" i="2"/>
  <c r="N4040" i="2" s="1"/>
  <c r="M4039" i="2"/>
  <c r="N4039" i="2" s="1"/>
  <c r="M4042" i="2"/>
  <c r="N4042" i="2" s="1"/>
  <c r="M4044" i="2"/>
  <c r="N4044" i="2" s="1"/>
  <c r="M4068" i="2"/>
  <c r="N4068" i="2" s="1"/>
  <c r="L56" i="10"/>
  <c r="M56" i="10" s="1"/>
  <c r="J92" i="10"/>
  <c r="M92" i="10" s="1"/>
  <c r="J47" i="10"/>
  <c r="M47" i="10" s="1"/>
  <c r="J23" i="10"/>
  <c r="M23" i="10" s="1"/>
  <c r="J74" i="10"/>
  <c r="M74" i="10" s="1"/>
  <c r="J61" i="10"/>
  <c r="M61" i="10" s="1"/>
  <c r="J14" i="10"/>
  <c r="M14" i="10" s="1"/>
  <c r="J17" i="10"/>
  <c r="M17" i="10" s="1"/>
  <c r="J4" i="10"/>
  <c r="M4" i="10" s="1"/>
  <c r="N4025" i="2"/>
  <c r="N4037" i="2"/>
  <c r="N4038" i="2"/>
  <c r="N4033" i="2"/>
  <c r="N4034" i="2"/>
  <c r="N4035" i="2"/>
  <c r="N4029" i="2"/>
  <c r="N4026" i="2"/>
  <c r="N4028" i="2"/>
  <c r="N4030" i="2"/>
  <c r="N4020" i="2"/>
  <c r="N4022" i="2"/>
  <c r="N4027" i="2"/>
  <c r="N4014" i="2"/>
  <c r="N4015" i="2"/>
  <c r="N4018" i="2"/>
  <c r="N4019" i="2"/>
  <c r="N4017" i="2"/>
  <c r="H6" i="10"/>
  <c r="J6" i="10" s="1"/>
  <c r="M948" i="1"/>
  <c r="M949" i="1"/>
  <c r="M950" i="1"/>
  <c r="H160" i="10"/>
  <c r="J160" i="10" s="1"/>
  <c r="F139" i="10"/>
  <c r="G139" i="10"/>
  <c r="F159" i="10"/>
  <c r="G159" i="10"/>
  <c r="F94" i="10"/>
  <c r="F95" i="10"/>
  <c r="G94" i="10"/>
  <c r="G95" i="10"/>
  <c r="F86" i="10"/>
  <c r="G86" i="10"/>
  <c r="L6" i="10" l="1"/>
  <c r="M6" i="10" s="1"/>
  <c r="L160" i="10"/>
  <c r="M160" i="10" s="1"/>
  <c r="H159" i="10"/>
  <c r="J159" i="10" s="1"/>
  <c r="H139" i="10"/>
  <c r="J139" i="10" s="1"/>
  <c r="H94" i="10"/>
  <c r="L94" i="10" s="1"/>
  <c r="H95" i="10"/>
  <c r="L95" i="10" s="1"/>
  <c r="H86" i="10"/>
  <c r="J86" i="10" s="1"/>
  <c r="I125" i="10"/>
  <c r="K4328" i="2" s="1"/>
  <c r="I2" i="10"/>
  <c r="K4006" i="2"/>
  <c r="M4006" i="2" s="1"/>
  <c r="K4008" i="2"/>
  <c r="M4008" i="2" s="1"/>
  <c r="G4011" i="2"/>
  <c r="I4011" i="2" s="1"/>
  <c r="G4009" i="2"/>
  <c r="I4009" i="2" s="1"/>
  <c r="G4004" i="2"/>
  <c r="C4013" i="2"/>
  <c r="D4013" i="2"/>
  <c r="F4013" i="2"/>
  <c r="I4013" i="2"/>
  <c r="J4013" i="2"/>
  <c r="K4013" i="2"/>
  <c r="M4013" i="2" s="1"/>
  <c r="C4012" i="2"/>
  <c r="D4012" i="2"/>
  <c r="F4012" i="2"/>
  <c r="I4012" i="2"/>
  <c r="J4012" i="2"/>
  <c r="K4012" i="2"/>
  <c r="M4012" i="2" s="1"/>
  <c r="C4011" i="2"/>
  <c r="D4011" i="2"/>
  <c r="F4011" i="2"/>
  <c r="J4011" i="2"/>
  <c r="K4011" i="2"/>
  <c r="C4010" i="2"/>
  <c r="D4010" i="2"/>
  <c r="F4010" i="2"/>
  <c r="I4010" i="2"/>
  <c r="J4010" i="2"/>
  <c r="C4009" i="2"/>
  <c r="D4009" i="2"/>
  <c r="F4009" i="2"/>
  <c r="J4009" i="2"/>
  <c r="K4009" i="2"/>
  <c r="F112" i="10"/>
  <c r="G112" i="10"/>
  <c r="C4008" i="2"/>
  <c r="D4008" i="2"/>
  <c r="F4008" i="2"/>
  <c r="I4008" i="2"/>
  <c r="J4008" i="2"/>
  <c r="C4007" i="2"/>
  <c r="D4007" i="2"/>
  <c r="F4007" i="2"/>
  <c r="I4007" i="2"/>
  <c r="J4007" i="2"/>
  <c r="K4007" i="2"/>
  <c r="M4007" i="2" s="1"/>
  <c r="C4006" i="2"/>
  <c r="D4006" i="2"/>
  <c r="F4006" i="2"/>
  <c r="I4006" i="2"/>
  <c r="J4006" i="2"/>
  <c r="F124" i="10"/>
  <c r="G124" i="10"/>
  <c r="C4005" i="2"/>
  <c r="D4005" i="2"/>
  <c r="F4005" i="2"/>
  <c r="I4005" i="2"/>
  <c r="J4005" i="2"/>
  <c r="C4004" i="2"/>
  <c r="D4004" i="2"/>
  <c r="F4004" i="2"/>
  <c r="I4004" i="2"/>
  <c r="J4004" i="2"/>
  <c r="K4004" i="2"/>
  <c r="M4004" i="2" s="1"/>
  <c r="C4003" i="2"/>
  <c r="D4003" i="2"/>
  <c r="F4003" i="2"/>
  <c r="I4003" i="2"/>
  <c r="J4003" i="2"/>
  <c r="K4003" i="2"/>
  <c r="M4003" i="2" s="1"/>
  <c r="F18" i="10"/>
  <c r="G18" i="10"/>
  <c r="C4002" i="2"/>
  <c r="D4002" i="2"/>
  <c r="F4002" i="2"/>
  <c r="I4002" i="2"/>
  <c r="J4002" i="2"/>
  <c r="K4002" i="2"/>
  <c r="M4002" i="2" s="1"/>
  <c r="G3994" i="2"/>
  <c r="G4000" i="2"/>
  <c r="I4000" i="2" s="1"/>
  <c r="G3996" i="2"/>
  <c r="C4001" i="2"/>
  <c r="D4001" i="2"/>
  <c r="F4001" i="2"/>
  <c r="I4001" i="2"/>
  <c r="J4001" i="2"/>
  <c r="K4001" i="2"/>
  <c r="M4001" i="2" s="1"/>
  <c r="C4000" i="2"/>
  <c r="D4000" i="2"/>
  <c r="F4000" i="2"/>
  <c r="J4000" i="2"/>
  <c r="K4000" i="2"/>
  <c r="M4000" i="2" s="1"/>
  <c r="F63" i="10"/>
  <c r="G63" i="10"/>
  <c r="C3999" i="2"/>
  <c r="D3999" i="2"/>
  <c r="F3999" i="2"/>
  <c r="I3999" i="2"/>
  <c r="J3999" i="2"/>
  <c r="K3999" i="2"/>
  <c r="M3999" i="2" s="1"/>
  <c r="C3998" i="2"/>
  <c r="D3998" i="2"/>
  <c r="F3998" i="2"/>
  <c r="I3998" i="2"/>
  <c r="J3998" i="2"/>
  <c r="K3998" i="2"/>
  <c r="M3998" i="2" s="1"/>
  <c r="C3997" i="2"/>
  <c r="D3997" i="2"/>
  <c r="F3997" i="2"/>
  <c r="I3997" i="2"/>
  <c r="J3997" i="2"/>
  <c r="K3997" i="2"/>
  <c r="M3997" i="2" s="1"/>
  <c r="C3996" i="2"/>
  <c r="D3996" i="2"/>
  <c r="F3996" i="2"/>
  <c r="I3996" i="2"/>
  <c r="J3996" i="2"/>
  <c r="K3996" i="2"/>
  <c r="C3995" i="2"/>
  <c r="D3995" i="2"/>
  <c r="F3995" i="2"/>
  <c r="I3995" i="2"/>
  <c r="J3995" i="2"/>
  <c r="C3994" i="2"/>
  <c r="D3994" i="2"/>
  <c r="F3994" i="2"/>
  <c r="I3994" i="2"/>
  <c r="J3994" i="2"/>
  <c r="K3994" i="2"/>
  <c r="C3993" i="2"/>
  <c r="D3993" i="2"/>
  <c r="F3993" i="2"/>
  <c r="I3993" i="2"/>
  <c r="J3993" i="2"/>
  <c r="K3993" i="2"/>
  <c r="M3993" i="2" s="1"/>
  <c r="G3992" i="2"/>
  <c r="I3992" i="2" s="1"/>
  <c r="G3991" i="2"/>
  <c r="I3991" i="2" s="1"/>
  <c r="C3992" i="2"/>
  <c r="D3992" i="2"/>
  <c r="F3992" i="2"/>
  <c r="J3992" i="2"/>
  <c r="K3992" i="2"/>
  <c r="C3991" i="2"/>
  <c r="D3991" i="2"/>
  <c r="F3991" i="2"/>
  <c r="J3991" i="2"/>
  <c r="K3991" i="2"/>
  <c r="M3991" i="2" s="1"/>
  <c r="C3990" i="2"/>
  <c r="D3990" i="2"/>
  <c r="F3990" i="2"/>
  <c r="I3990" i="2"/>
  <c r="J3990" i="2"/>
  <c r="K3990" i="2"/>
  <c r="M3990" i="2" s="1"/>
  <c r="C3989" i="2"/>
  <c r="D3989" i="2"/>
  <c r="F3989" i="2"/>
  <c r="I3989" i="2"/>
  <c r="J3989" i="2"/>
  <c r="K3989" i="2"/>
  <c r="M3989" i="2" s="1"/>
  <c r="C3988" i="2"/>
  <c r="D3988" i="2"/>
  <c r="F3988" i="2"/>
  <c r="I3988" i="2"/>
  <c r="J3988" i="2"/>
  <c r="K3988" i="2"/>
  <c r="M3988" i="2" s="1"/>
  <c r="C3987" i="2"/>
  <c r="D3987" i="2"/>
  <c r="F3987" i="2"/>
  <c r="I3987" i="2"/>
  <c r="J3987" i="2"/>
  <c r="C3986" i="2"/>
  <c r="D3986" i="2"/>
  <c r="F3986" i="2"/>
  <c r="I3986" i="2"/>
  <c r="J3986" i="2"/>
  <c r="K3986" i="2"/>
  <c r="M3986" i="2" s="1"/>
  <c r="C3985" i="2"/>
  <c r="D3985" i="2"/>
  <c r="F3985" i="2"/>
  <c r="I3985" i="2"/>
  <c r="J3985" i="2"/>
  <c r="K3985" i="2"/>
  <c r="M3985" i="2" s="1"/>
  <c r="C3984" i="2"/>
  <c r="D3984" i="2"/>
  <c r="F3984" i="2"/>
  <c r="I3984" i="2"/>
  <c r="J3984" i="2"/>
  <c r="C3983" i="2"/>
  <c r="D3983" i="2"/>
  <c r="F3983" i="2"/>
  <c r="I3983" i="2"/>
  <c r="J3983" i="2"/>
  <c r="F2" i="10"/>
  <c r="G2" i="10"/>
  <c r="C3982" i="2"/>
  <c r="D3982" i="2"/>
  <c r="F3982" i="2"/>
  <c r="I3982" i="2"/>
  <c r="J3982" i="2"/>
  <c r="K3982" i="2"/>
  <c r="M3982" i="2" s="1"/>
  <c r="C3981" i="2"/>
  <c r="D3981" i="2"/>
  <c r="F3981" i="2"/>
  <c r="I3981" i="2"/>
  <c r="J3981" i="2"/>
  <c r="K3981" i="2"/>
  <c r="M3981" i="2" s="1"/>
  <c r="C3980" i="2"/>
  <c r="D3980" i="2"/>
  <c r="F3980" i="2"/>
  <c r="I3980" i="2"/>
  <c r="J3980" i="2"/>
  <c r="K3980" i="2"/>
  <c r="M3980" i="2" s="1"/>
  <c r="C3979" i="2"/>
  <c r="D3979" i="2"/>
  <c r="F3979" i="2"/>
  <c r="I3979" i="2"/>
  <c r="J3979" i="2"/>
  <c r="K3979" i="2"/>
  <c r="M3979" i="2" s="1"/>
  <c r="C3978" i="2"/>
  <c r="D3978" i="2"/>
  <c r="F3978" i="2"/>
  <c r="I3978" i="2"/>
  <c r="J3978" i="2"/>
  <c r="C3977" i="2"/>
  <c r="D3977" i="2"/>
  <c r="F3977" i="2"/>
  <c r="I3977" i="2"/>
  <c r="J3977" i="2"/>
  <c r="K3977" i="2"/>
  <c r="M3977" i="2" s="1"/>
  <c r="C3976" i="2"/>
  <c r="D3976" i="2"/>
  <c r="F3976" i="2"/>
  <c r="I3976" i="2"/>
  <c r="J3976" i="2"/>
  <c r="K3976" i="2"/>
  <c r="M3976" i="2" s="1"/>
  <c r="C3975" i="2"/>
  <c r="D3975" i="2"/>
  <c r="F3975" i="2"/>
  <c r="I3975" i="2"/>
  <c r="J3975" i="2"/>
  <c r="K3975" i="2"/>
  <c r="M3975" i="2" s="1"/>
  <c r="G3969" i="2"/>
  <c r="I3969" i="2" s="1"/>
  <c r="G3960" i="2"/>
  <c r="G5" i="10" s="1"/>
  <c r="C3974" i="2"/>
  <c r="D3974" i="2"/>
  <c r="F3974" i="2"/>
  <c r="I3974" i="2"/>
  <c r="J3974" i="2"/>
  <c r="C3973" i="2"/>
  <c r="D3973" i="2"/>
  <c r="F3973" i="2"/>
  <c r="I3973" i="2"/>
  <c r="J3973" i="2"/>
  <c r="C3972" i="2"/>
  <c r="D3972" i="2"/>
  <c r="F3972" i="2"/>
  <c r="I3972" i="2"/>
  <c r="J3972" i="2"/>
  <c r="K3972" i="2"/>
  <c r="M3972" i="2" s="1"/>
  <c r="C3971" i="2"/>
  <c r="D3971" i="2"/>
  <c r="F3971" i="2"/>
  <c r="I3971" i="2"/>
  <c r="J3971" i="2"/>
  <c r="K3971" i="2"/>
  <c r="M3971" i="2" s="1"/>
  <c r="C3970" i="2"/>
  <c r="D3970" i="2"/>
  <c r="F3970" i="2"/>
  <c r="I3970" i="2"/>
  <c r="J3970" i="2"/>
  <c r="K3970" i="2"/>
  <c r="M3970" i="2" s="1"/>
  <c r="C3969" i="2"/>
  <c r="D3969" i="2"/>
  <c r="F3969" i="2"/>
  <c r="J3969" i="2"/>
  <c r="K3969" i="2"/>
  <c r="C3968" i="2"/>
  <c r="D3968" i="2"/>
  <c r="F3968" i="2"/>
  <c r="I3968" i="2"/>
  <c r="J3968" i="2"/>
  <c r="K3968" i="2"/>
  <c r="M3968" i="2" s="1"/>
  <c r="C3967" i="2"/>
  <c r="D3967" i="2"/>
  <c r="F3967" i="2"/>
  <c r="I3967" i="2"/>
  <c r="J3967" i="2"/>
  <c r="K3967" i="2"/>
  <c r="M3967" i="2" s="1"/>
  <c r="C3966" i="2"/>
  <c r="D3966" i="2"/>
  <c r="F3966" i="2"/>
  <c r="I3966" i="2"/>
  <c r="J3966" i="2"/>
  <c r="C3965" i="2"/>
  <c r="D3965" i="2"/>
  <c r="F3965" i="2"/>
  <c r="I3965" i="2"/>
  <c r="J3965" i="2"/>
  <c r="K3965" i="2"/>
  <c r="M3965" i="2" s="1"/>
  <c r="C3964" i="2"/>
  <c r="D3964" i="2"/>
  <c r="F3964" i="2"/>
  <c r="I3964" i="2"/>
  <c r="J3964" i="2"/>
  <c r="K3964" i="2"/>
  <c r="M3964" i="2" s="1"/>
  <c r="C3963" i="2"/>
  <c r="D3963" i="2"/>
  <c r="F3963" i="2"/>
  <c r="I3963" i="2"/>
  <c r="J3963" i="2"/>
  <c r="K3963" i="2"/>
  <c r="M3963" i="2" s="1"/>
  <c r="C3962" i="2"/>
  <c r="D3962" i="2"/>
  <c r="F3962" i="2"/>
  <c r="I3962" i="2"/>
  <c r="J3962" i="2"/>
  <c r="K3962" i="2"/>
  <c r="M3962" i="2" s="1"/>
  <c r="C3961" i="2"/>
  <c r="D3961" i="2"/>
  <c r="F3961" i="2"/>
  <c r="I3961" i="2"/>
  <c r="J3961" i="2"/>
  <c r="K3961" i="2"/>
  <c r="M3961" i="2" s="1"/>
  <c r="C3960" i="2"/>
  <c r="D3960" i="2"/>
  <c r="F3960" i="2"/>
  <c r="I3960" i="2"/>
  <c r="J3960" i="2"/>
  <c r="C3959" i="2"/>
  <c r="D3959" i="2"/>
  <c r="F3959" i="2"/>
  <c r="I3959" i="2"/>
  <c r="J3959" i="2"/>
  <c r="C3958" i="2"/>
  <c r="D3958" i="2"/>
  <c r="F3958" i="2"/>
  <c r="I3958" i="2"/>
  <c r="J3958" i="2"/>
  <c r="K3958" i="2"/>
  <c r="M3958" i="2" s="1"/>
  <c r="C3957" i="2"/>
  <c r="D3957" i="2"/>
  <c r="F3957" i="2"/>
  <c r="I3957" i="2"/>
  <c r="J3957" i="2"/>
  <c r="C3956" i="2"/>
  <c r="D3956" i="2"/>
  <c r="F3956" i="2"/>
  <c r="I3956" i="2"/>
  <c r="J3956" i="2"/>
  <c r="C3955" i="2"/>
  <c r="D3955" i="2"/>
  <c r="F3955" i="2"/>
  <c r="I3955" i="2"/>
  <c r="J3955" i="2"/>
  <c r="K3955" i="2"/>
  <c r="M3955" i="2" s="1"/>
  <c r="F3954" i="2"/>
  <c r="C3954" i="2"/>
  <c r="D3954" i="2"/>
  <c r="I3954" i="2"/>
  <c r="J3954" i="2"/>
  <c r="K3954" i="2"/>
  <c r="M3954" i="2" s="1"/>
  <c r="C3953" i="2"/>
  <c r="D3953" i="2"/>
  <c r="F3953" i="2"/>
  <c r="I3953" i="2"/>
  <c r="J3953" i="2"/>
  <c r="K3953" i="2"/>
  <c r="M3953" i="2" s="1"/>
  <c r="C3950" i="2"/>
  <c r="D3950" i="2"/>
  <c r="F3950" i="2"/>
  <c r="I3950" i="2"/>
  <c r="J3950" i="2"/>
  <c r="K3950" i="2"/>
  <c r="M3950" i="2" s="1"/>
  <c r="C3952" i="2"/>
  <c r="D3952" i="2"/>
  <c r="F3952" i="2"/>
  <c r="I3952" i="2"/>
  <c r="J3952" i="2"/>
  <c r="K3952" i="2"/>
  <c r="M3952" i="2" s="1"/>
  <c r="C3951" i="2"/>
  <c r="D3951" i="2"/>
  <c r="F3951" i="2"/>
  <c r="I3951" i="2"/>
  <c r="J3951" i="2"/>
  <c r="K3951" i="2"/>
  <c r="M3951" i="2" s="1"/>
  <c r="C3949" i="2"/>
  <c r="D3949" i="2"/>
  <c r="F3949" i="2"/>
  <c r="I3949" i="2"/>
  <c r="J3949" i="2"/>
  <c r="K3949" i="2"/>
  <c r="M3949" i="2" s="1"/>
  <c r="G3946" i="2"/>
  <c r="I3946" i="2" s="1"/>
  <c r="F169" i="10"/>
  <c r="G169" i="10"/>
  <c r="F145" i="10"/>
  <c r="G145" i="10"/>
  <c r="F109" i="10"/>
  <c r="G109" i="10"/>
  <c r="C3948" i="2"/>
  <c r="D3948" i="2"/>
  <c r="F3948" i="2"/>
  <c r="I3948" i="2"/>
  <c r="J3948" i="2"/>
  <c r="K3948" i="2"/>
  <c r="M3948" i="2" s="1"/>
  <c r="C3947" i="2"/>
  <c r="D3947" i="2"/>
  <c r="F3947" i="2"/>
  <c r="I3947" i="2"/>
  <c r="J3947" i="2"/>
  <c r="K3947" i="2"/>
  <c r="M3947" i="2" s="1"/>
  <c r="C3946" i="2"/>
  <c r="D3946" i="2"/>
  <c r="F3946" i="2"/>
  <c r="J3946" i="2"/>
  <c r="K3946" i="2"/>
  <c r="C3945" i="2"/>
  <c r="D3945" i="2"/>
  <c r="F3945" i="2"/>
  <c r="I3945" i="2"/>
  <c r="J3945" i="2"/>
  <c r="K3945" i="2"/>
  <c r="M3945" i="2" s="1"/>
  <c r="C3944" i="2"/>
  <c r="D3944" i="2"/>
  <c r="F3944" i="2"/>
  <c r="I3944" i="2"/>
  <c r="J3944" i="2"/>
  <c r="K3944" i="2"/>
  <c r="M3944" i="2" s="1"/>
  <c r="C3943" i="2"/>
  <c r="D3943" i="2"/>
  <c r="F3943" i="2"/>
  <c r="I3943" i="2"/>
  <c r="J3943" i="2"/>
  <c r="C3942" i="2"/>
  <c r="D3942" i="2"/>
  <c r="F3942" i="2"/>
  <c r="I3942" i="2"/>
  <c r="J3942" i="2"/>
  <c r="K3942" i="2"/>
  <c r="M3942" i="2" s="1"/>
  <c r="C3941" i="2"/>
  <c r="D3941" i="2"/>
  <c r="F3941" i="2"/>
  <c r="I3941" i="2"/>
  <c r="J3941" i="2"/>
  <c r="K3941" i="2"/>
  <c r="M3941" i="2" s="1"/>
  <c r="F12" i="10"/>
  <c r="G12" i="10"/>
  <c r="C3940" i="2"/>
  <c r="D3940" i="2"/>
  <c r="F3940" i="2"/>
  <c r="I3940" i="2"/>
  <c r="J3940" i="2"/>
  <c r="K3940" i="2"/>
  <c r="M3940" i="2" s="1"/>
  <c r="C3939" i="2"/>
  <c r="D3939" i="2"/>
  <c r="F3939" i="2"/>
  <c r="I3939" i="2"/>
  <c r="J3939" i="2"/>
  <c r="K3939" i="2"/>
  <c r="M3939" i="2" s="1"/>
  <c r="C3938" i="2"/>
  <c r="D3938" i="2"/>
  <c r="F3938" i="2"/>
  <c r="I3938" i="2"/>
  <c r="J3938" i="2"/>
  <c r="K3938" i="2"/>
  <c r="M3938" i="2" s="1"/>
  <c r="C3937" i="2"/>
  <c r="D3937" i="2"/>
  <c r="F3937" i="2"/>
  <c r="I3937" i="2"/>
  <c r="J3937" i="2"/>
  <c r="K3937" i="2"/>
  <c r="M3937" i="2" s="1"/>
  <c r="G3928" i="2"/>
  <c r="I3928" i="2" s="1"/>
  <c r="C3936" i="2"/>
  <c r="D3936" i="2"/>
  <c r="F3936" i="2"/>
  <c r="I3936" i="2"/>
  <c r="J3936" i="2"/>
  <c r="K3936" i="2"/>
  <c r="M3936" i="2" s="1"/>
  <c r="C3935" i="2"/>
  <c r="D3935" i="2"/>
  <c r="F3935" i="2"/>
  <c r="I3935" i="2"/>
  <c r="J3935" i="2"/>
  <c r="K3935" i="2"/>
  <c r="M3935" i="2" s="1"/>
  <c r="C3934" i="2"/>
  <c r="D3934" i="2"/>
  <c r="F3934" i="2"/>
  <c r="I3934" i="2"/>
  <c r="J3934" i="2"/>
  <c r="C3933" i="2"/>
  <c r="D3933" i="2"/>
  <c r="F3933" i="2"/>
  <c r="I3933" i="2"/>
  <c r="J3933" i="2"/>
  <c r="K3933" i="2"/>
  <c r="M3933" i="2" s="1"/>
  <c r="C3932" i="2"/>
  <c r="D3932" i="2"/>
  <c r="F3932" i="2"/>
  <c r="I3932" i="2"/>
  <c r="J3932" i="2"/>
  <c r="K3932" i="2"/>
  <c r="M3932" i="2" s="1"/>
  <c r="C3931" i="2"/>
  <c r="D3931" i="2"/>
  <c r="F3931" i="2"/>
  <c r="I3931" i="2"/>
  <c r="J3931" i="2"/>
  <c r="K3931" i="2"/>
  <c r="M3931" i="2" s="1"/>
  <c r="C3930" i="2"/>
  <c r="D3930" i="2"/>
  <c r="F3930" i="2"/>
  <c r="I3930" i="2"/>
  <c r="J3930" i="2"/>
  <c r="K3930" i="2"/>
  <c r="M3930" i="2" s="1"/>
  <c r="C3929" i="2"/>
  <c r="D3929" i="2"/>
  <c r="F3929" i="2"/>
  <c r="I3929" i="2"/>
  <c r="J3929" i="2"/>
  <c r="K3929" i="2"/>
  <c r="M3929" i="2" s="1"/>
  <c r="C3928" i="2"/>
  <c r="D3928" i="2"/>
  <c r="F3928" i="2"/>
  <c r="J3928" i="2"/>
  <c r="K3928" i="2"/>
  <c r="C3927" i="2"/>
  <c r="D3927" i="2"/>
  <c r="F3927" i="2"/>
  <c r="I3927" i="2"/>
  <c r="J3927" i="2"/>
  <c r="K3927" i="2"/>
  <c r="M3927" i="2" s="1"/>
  <c r="C3926" i="2"/>
  <c r="D3926" i="2"/>
  <c r="F3926" i="2"/>
  <c r="I3926" i="2"/>
  <c r="J3926" i="2"/>
  <c r="K3926" i="2"/>
  <c r="M3926" i="2" s="1"/>
  <c r="F5" i="10"/>
  <c r="C937" i="1"/>
  <c r="D937" i="1"/>
  <c r="E937" i="1"/>
  <c r="G937" i="1"/>
  <c r="J937" i="1"/>
  <c r="L937" i="1"/>
  <c r="C936" i="1"/>
  <c r="D936" i="1"/>
  <c r="E936" i="1"/>
  <c r="G936" i="1"/>
  <c r="J936" i="1"/>
  <c r="L936" i="1"/>
  <c r="C935" i="1"/>
  <c r="D935" i="1"/>
  <c r="E935" i="1"/>
  <c r="G935" i="1"/>
  <c r="J935" i="1"/>
  <c r="L935" i="1"/>
  <c r="I198" i="10"/>
  <c r="K4071" i="2" s="1"/>
  <c r="F198" i="10"/>
  <c r="G198" i="10"/>
  <c r="C934" i="1"/>
  <c r="D934" i="1"/>
  <c r="E934" i="1"/>
  <c r="G934" i="1"/>
  <c r="J934" i="1"/>
  <c r="L934" i="1"/>
  <c r="C933" i="1"/>
  <c r="D933" i="1"/>
  <c r="E933" i="1"/>
  <c r="G933" i="1"/>
  <c r="J933" i="1"/>
  <c r="L933" i="1"/>
  <c r="C932" i="1"/>
  <c r="D932" i="1"/>
  <c r="E932" i="1"/>
  <c r="G932" i="1"/>
  <c r="J932" i="1"/>
  <c r="L932" i="1"/>
  <c r="C944" i="1"/>
  <c r="D944" i="1"/>
  <c r="E944" i="1"/>
  <c r="G944" i="1"/>
  <c r="J944" i="1"/>
  <c r="L944" i="1"/>
  <c r="C939" i="1"/>
  <c r="D939" i="1"/>
  <c r="E939" i="1"/>
  <c r="G939" i="1"/>
  <c r="J939" i="1"/>
  <c r="L939" i="1"/>
  <c r="I157" i="10"/>
  <c r="I183" i="10"/>
  <c r="K4314" i="2" s="1"/>
  <c r="I48" i="10"/>
  <c r="K4293" i="2" s="1"/>
  <c r="I115" i="10"/>
  <c r="I9" i="10"/>
  <c r="K4175" i="2" s="1"/>
  <c r="M4175" i="2" s="1"/>
  <c r="N4175" i="2" s="1"/>
  <c r="I49" i="10"/>
  <c r="I50" i="10"/>
  <c r="I114" i="10"/>
  <c r="I82" i="10"/>
  <c r="I152" i="10"/>
  <c r="I99" i="10"/>
  <c r="I100" i="10"/>
  <c r="I121" i="10"/>
  <c r="I98" i="10"/>
  <c r="I149" i="10"/>
  <c r="I67" i="10"/>
  <c r="I136" i="10"/>
  <c r="I51" i="10"/>
  <c r="I89" i="10"/>
  <c r="I90" i="10"/>
  <c r="I116" i="10"/>
  <c r="I85" i="10"/>
  <c r="I68" i="10"/>
  <c r="I87" i="10"/>
  <c r="I138" i="10"/>
  <c r="I84" i="10"/>
  <c r="I118" i="10"/>
  <c r="I96" i="10"/>
  <c r="I150" i="10"/>
  <c r="I101" i="10"/>
  <c r="K4041" i="2" s="1"/>
  <c r="N4041" i="2" s="1"/>
  <c r="I73" i="10"/>
  <c r="K4325" i="2" s="1"/>
  <c r="I83" i="10"/>
  <c r="K4024" i="2" s="1"/>
  <c r="I158" i="10"/>
  <c r="K3987" i="2"/>
  <c r="I97" i="10"/>
  <c r="I141" i="10"/>
  <c r="C943" i="1"/>
  <c r="D943" i="1"/>
  <c r="E943" i="1"/>
  <c r="G943" i="1"/>
  <c r="J943" i="1"/>
  <c r="L943" i="1"/>
  <c r="F97" i="10"/>
  <c r="G97" i="10"/>
  <c r="C942" i="1"/>
  <c r="D942" i="1"/>
  <c r="E942" i="1"/>
  <c r="G942" i="1"/>
  <c r="J942" i="1"/>
  <c r="L942" i="1"/>
  <c r="C941" i="1"/>
  <c r="D941" i="1"/>
  <c r="E941" i="1"/>
  <c r="G941" i="1"/>
  <c r="J941" i="1"/>
  <c r="L941" i="1"/>
  <c r="C940" i="1"/>
  <c r="D940" i="1"/>
  <c r="E940" i="1"/>
  <c r="G940" i="1"/>
  <c r="J940" i="1"/>
  <c r="L940" i="1"/>
  <c r="K4332" i="2" l="1"/>
  <c r="N4332" i="2" s="1"/>
  <c r="K4351" i="2"/>
  <c r="M4351" i="2" s="1"/>
  <c r="N4351" i="2" s="1"/>
  <c r="K4031" i="2"/>
  <c r="M4031" i="2" s="1"/>
  <c r="N4031" i="2" s="1"/>
  <c r="K4345" i="2"/>
  <c r="M4332" i="2"/>
  <c r="M4328" i="2"/>
  <c r="N4328" i="2" s="1"/>
  <c r="M4325" i="2"/>
  <c r="N4325" i="2"/>
  <c r="M4314" i="2"/>
  <c r="N4314" i="2"/>
  <c r="M4293" i="2"/>
  <c r="N4293" i="2"/>
  <c r="K4097" i="2"/>
  <c r="M4097" i="2" s="1"/>
  <c r="N4097" i="2" s="1"/>
  <c r="K4230" i="2"/>
  <c r="M3994" i="2"/>
  <c r="N3994" i="2" s="1"/>
  <c r="M3946" i="2"/>
  <c r="N3946" i="2" s="1"/>
  <c r="K3983" i="2"/>
  <c r="M3983" i="2" s="1"/>
  <c r="K4158" i="2"/>
  <c r="M3996" i="2"/>
  <c r="N3996" i="2" s="1"/>
  <c r="M4011" i="2"/>
  <c r="N4011" i="2" s="1"/>
  <c r="K3943" i="2"/>
  <c r="M3943" i="2" s="1"/>
  <c r="N3943" i="2" s="1"/>
  <c r="K4005" i="2"/>
  <c r="M4071" i="2"/>
  <c r="N4071" i="2" s="1"/>
  <c r="M4024" i="2"/>
  <c r="N4024" i="2"/>
  <c r="K4032" i="2"/>
  <c r="M4032" i="2" s="1"/>
  <c r="K4023" i="2"/>
  <c r="M4023" i="2" s="1"/>
  <c r="N4023" i="2" s="1"/>
  <c r="M4041" i="2"/>
  <c r="N3999" i="2"/>
  <c r="N3947" i="2"/>
  <c r="M3992" i="2"/>
  <c r="N3992" i="2" s="1"/>
  <c r="M4009" i="2"/>
  <c r="N4009" i="2" s="1"/>
  <c r="N3940" i="2"/>
  <c r="N3948" i="2"/>
  <c r="N3975" i="2"/>
  <c r="L139" i="10"/>
  <c r="M139" i="10" s="1"/>
  <c r="L159" i="10"/>
  <c r="M159" i="10" s="1"/>
  <c r="M937" i="1"/>
  <c r="L86" i="10"/>
  <c r="M86" i="10" s="1"/>
  <c r="J95" i="10"/>
  <c r="M95" i="10" s="1"/>
  <c r="J94" i="10"/>
  <c r="M94" i="10" s="1"/>
  <c r="H63" i="10"/>
  <c r="L63" i="10" s="1"/>
  <c r="H112" i="10"/>
  <c r="J112" i="10" s="1"/>
  <c r="N4013" i="2"/>
  <c r="N4012" i="2"/>
  <c r="H18" i="10"/>
  <c r="N4006" i="2"/>
  <c r="N4007" i="2"/>
  <c r="N4008" i="2"/>
  <c r="N4003" i="2"/>
  <c r="N4004" i="2"/>
  <c r="H124" i="10"/>
  <c r="L124" i="10" s="1"/>
  <c r="N3997" i="2"/>
  <c r="N4002" i="2"/>
  <c r="N4001" i="2"/>
  <c r="N4000" i="2"/>
  <c r="N3998" i="2"/>
  <c r="H169" i="10"/>
  <c r="L169" i="10" s="1"/>
  <c r="N3993" i="2"/>
  <c r="M3928" i="2"/>
  <c r="N3928" i="2" s="1"/>
  <c r="M3969" i="2"/>
  <c r="N3969" i="2" s="1"/>
  <c r="N3989" i="2"/>
  <c r="N3991" i="2"/>
  <c r="N3990" i="2"/>
  <c r="N3988" i="2"/>
  <c r="N3985" i="2"/>
  <c r="M3987" i="2"/>
  <c r="N3987" i="2" s="1"/>
  <c r="N3986" i="2"/>
  <c r="H2" i="10"/>
  <c r="L2" i="10" s="1"/>
  <c r="N3976" i="2"/>
  <c r="N3980" i="2"/>
  <c r="N3982" i="2"/>
  <c r="N3979" i="2"/>
  <c r="N3981" i="2"/>
  <c r="N3977" i="2"/>
  <c r="N3962" i="2"/>
  <c r="N3972" i="2"/>
  <c r="N3967" i="2"/>
  <c r="N3968" i="2"/>
  <c r="N3970" i="2"/>
  <c r="N3971" i="2"/>
  <c r="N3961" i="2"/>
  <c r="N3964" i="2"/>
  <c r="N3965" i="2"/>
  <c r="N3963" i="2"/>
  <c r="K3960" i="2"/>
  <c r="N3958" i="2"/>
  <c r="N3955" i="2"/>
  <c r="N3954" i="2"/>
  <c r="K3956" i="2"/>
  <c r="N3953" i="2"/>
  <c r="N3951" i="2"/>
  <c r="N3950" i="2"/>
  <c r="N3952" i="2"/>
  <c r="N3949" i="2"/>
  <c r="H145" i="10"/>
  <c r="J145" i="10" s="1"/>
  <c r="H109" i="10"/>
  <c r="L109" i="10" s="1"/>
  <c r="H12" i="10"/>
  <c r="L12" i="10" s="1"/>
  <c r="N3944" i="2"/>
  <c r="N3945" i="2"/>
  <c r="N3942" i="2"/>
  <c r="N3941" i="2"/>
  <c r="N3938" i="2"/>
  <c r="N3937" i="2"/>
  <c r="N3939" i="2"/>
  <c r="N3936" i="2"/>
  <c r="N3932" i="2"/>
  <c r="N3930" i="2"/>
  <c r="N3933" i="2"/>
  <c r="N3935" i="2"/>
  <c r="N3927" i="2"/>
  <c r="N3929" i="2"/>
  <c r="N3931" i="2"/>
  <c r="N3926" i="2"/>
  <c r="H5" i="10"/>
  <c r="L5" i="10" s="1"/>
  <c r="M933" i="1"/>
  <c r="M936" i="1"/>
  <c r="M935" i="1"/>
  <c r="M934" i="1"/>
  <c r="H198" i="10"/>
  <c r="L198" i="10" s="1"/>
  <c r="M932" i="1"/>
  <c r="M944" i="1"/>
  <c r="M939" i="1"/>
  <c r="M943" i="1"/>
  <c r="M942" i="1"/>
  <c r="M941" i="1"/>
  <c r="M940" i="1"/>
  <c r="H97" i="10"/>
  <c r="L97" i="10" s="1"/>
  <c r="F24" i="10"/>
  <c r="G24" i="10"/>
  <c r="F126" i="10"/>
  <c r="G126" i="10"/>
  <c r="F192" i="10"/>
  <c r="G192" i="10"/>
  <c r="F175" i="10"/>
  <c r="G175" i="10"/>
  <c r="F123" i="10"/>
  <c r="G123" i="10"/>
  <c r="F122" i="10"/>
  <c r="G122" i="10"/>
  <c r="F72" i="10"/>
  <c r="G72" i="10"/>
  <c r="F117" i="10"/>
  <c r="G117" i="10"/>
  <c r="F158" i="10"/>
  <c r="G158" i="10"/>
  <c r="F83" i="10"/>
  <c r="G83" i="10"/>
  <c r="F73" i="10"/>
  <c r="G73" i="10"/>
  <c r="F101" i="10"/>
  <c r="G101" i="10"/>
  <c r="F181" i="10"/>
  <c r="G181" i="10"/>
  <c r="F150" i="10"/>
  <c r="G150" i="10"/>
  <c r="F141" i="10"/>
  <c r="G141" i="10"/>
  <c r="F96" i="10"/>
  <c r="G96" i="10"/>
  <c r="F118" i="10"/>
  <c r="G118" i="10"/>
  <c r="F84" i="10"/>
  <c r="G84" i="10"/>
  <c r="F138" i="10"/>
  <c r="G138" i="10"/>
  <c r="E40" i="10"/>
  <c r="F40" i="10"/>
  <c r="G40" i="10"/>
  <c r="F87" i="10"/>
  <c r="G87" i="10"/>
  <c r="F68" i="10"/>
  <c r="G68" i="10"/>
  <c r="F85" i="10"/>
  <c r="G85" i="10"/>
  <c r="F53" i="10"/>
  <c r="G53" i="10"/>
  <c r="F52" i="10"/>
  <c r="G52" i="10"/>
  <c r="F136" i="10"/>
  <c r="G136" i="10"/>
  <c r="F116" i="10"/>
  <c r="G116" i="10"/>
  <c r="F90" i="10"/>
  <c r="G90" i="10"/>
  <c r="F89" i="10"/>
  <c r="G89" i="10"/>
  <c r="F51" i="10"/>
  <c r="G51" i="10"/>
  <c r="F100" i="10"/>
  <c r="F121" i="10"/>
  <c r="F98" i="10"/>
  <c r="F149" i="10"/>
  <c r="F67" i="10"/>
  <c r="G100" i="10"/>
  <c r="G121" i="10"/>
  <c r="G98" i="10"/>
  <c r="G149" i="10"/>
  <c r="G67" i="10"/>
  <c r="F99" i="10"/>
  <c r="G99" i="10"/>
  <c r="F152" i="10"/>
  <c r="G152" i="10"/>
  <c r="F82" i="10"/>
  <c r="G82" i="10"/>
  <c r="E174" i="10"/>
  <c r="F114" i="10"/>
  <c r="G114" i="10"/>
  <c r="F50" i="10"/>
  <c r="G50" i="10"/>
  <c r="F49" i="10"/>
  <c r="G49" i="10"/>
  <c r="F9" i="10"/>
  <c r="G9" i="10"/>
  <c r="F115" i="10"/>
  <c r="G115" i="10"/>
  <c r="F48" i="10"/>
  <c r="G48" i="10"/>
  <c r="F183" i="10"/>
  <c r="G183" i="10"/>
  <c r="F157" i="10"/>
  <c r="G157" i="10"/>
  <c r="F172" i="10"/>
  <c r="F171" i="10"/>
  <c r="G172" i="10"/>
  <c r="G171" i="10"/>
  <c r="F170" i="10"/>
  <c r="G170" i="10"/>
  <c r="M4345" i="2" l="1"/>
  <c r="N4345" i="2"/>
  <c r="M4230" i="2"/>
  <c r="N4230" i="2" s="1"/>
  <c r="N3983" i="2"/>
  <c r="M4158" i="2"/>
  <c r="N4158" i="2"/>
  <c r="N4032" i="2"/>
  <c r="L18" i="10"/>
  <c r="J18" i="10"/>
  <c r="J63" i="10"/>
  <c r="M63" i="10" s="1"/>
  <c r="L112" i="10"/>
  <c r="M112" i="10" s="1"/>
  <c r="J124" i="10"/>
  <c r="M124" i="10" s="1"/>
  <c r="M4005" i="2"/>
  <c r="N4005" i="2" s="1"/>
  <c r="J169" i="10"/>
  <c r="M169" i="10" s="1"/>
  <c r="J2" i="10"/>
  <c r="M2" i="10" s="1"/>
  <c r="M3960" i="2"/>
  <c r="N3960" i="2" s="1"/>
  <c r="M3956" i="2"/>
  <c r="N3956" i="2" s="1"/>
  <c r="L145" i="10"/>
  <c r="M145" i="10" s="1"/>
  <c r="J109" i="10"/>
  <c r="M109" i="10" s="1"/>
  <c r="J12" i="10"/>
  <c r="M12" i="10" s="1"/>
  <c r="J5" i="10"/>
  <c r="M5" i="10" s="1"/>
  <c r="J198" i="10"/>
  <c r="M198" i="10" s="1"/>
  <c r="H84" i="10"/>
  <c r="L84" i="10" s="1"/>
  <c r="H101" i="10"/>
  <c r="J101" i="10" s="1"/>
  <c r="H122" i="10"/>
  <c r="L122" i="10" s="1"/>
  <c r="H175" i="10"/>
  <c r="L175" i="10" s="1"/>
  <c r="H126" i="10"/>
  <c r="J126" i="10" s="1"/>
  <c r="J97" i="10"/>
  <c r="M97" i="10" s="1"/>
  <c r="H192" i="10"/>
  <c r="J192" i="10" s="1"/>
  <c r="H24" i="10"/>
  <c r="L24" i="10" s="1"/>
  <c r="H118" i="10"/>
  <c r="L118" i="10" s="1"/>
  <c r="H181" i="10"/>
  <c r="L181" i="10" s="1"/>
  <c r="H72" i="10"/>
  <c r="J72" i="10" s="1"/>
  <c r="H123" i="10"/>
  <c r="L123" i="10" s="1"/>
  <c r="H117" i="10"/>
  <c r="L117" i="10" s="1"/>
  <c r="H158" i="10"/>
  <c r="L158" i="10" s="1"/>
  <c r="H83" i="10"/>
  <c r="L83" i="10" s="1"/>
  <c r="H73" i="10"/>
  <c r="L73" i="10" s="1"/>
  <c r="H150" i="10"/>
  <c r="L150" i="10" s="1"/>
  <c r="H141" i="10"/>
  <c r="L141" i="10" s="1"/>
  <c r="H96" i="10"/>
  <c r="L96" i="10" s="1"/>
  <c r="H138" i="10"/>
  <c r="L138" i="10" s="1"/>
  <c r="H99" i="10"/>
  <c r="L99" i="10" s="1"/>
  <c r="H98" i="10"/>
  <c r="J98" i="10" s="1"/>
  <c r="H90" i="10"/>
  <c r="J90" i="10" s="1"/>
  <c r="H40" i="10"/>
  <c r="J40" i="10" s="1"/>
  <c r="H87" i="10"/>
  <c r="L87" i="10" s="1"/>
  <c r="H68" i="10"/>
  <c r="L68" i="10" s="1"/>
  <c r="H85" i="10"/>
  <c r="L85" i="10" s="1"/>
  <c r="H53" i="10"/>
  <c r="L53" i="10" s="1"/>
  <c r="H67" i="10"/>
  <c r="L67" i="10" s="1"/>
  <c r="H100" i="10"/>
  <c r="J100" i="10" s="1"/>
  <c r="H116" i="10"/>
  <c r="L116" i="10" s="1"/>
  <c r="H52" i="10"/>
  <c r="L52" i="10" s="1"/>
  <c r="H136" i="10"/>
  <c r="L136" i="10" s="1"/>
  <c r="H51" i="10"/>
  <c r="J51" i="10" s="1"/>
  <c r="H89" i="10"/>
  <c r="J89" i="10" s="1"/>
  <c r="H121" i="10"/>
  <c r="J121" i="10" s="1"/>
  <c r="H149" i="10"/>
  <c r="J149" i="10" s="1"/>
  <c r="H183" i="10"/>
  <c r="J183" i="10" s="1"/>
  <c r="H157" i="10"/>
  <c r="L157" i="10" s="1"/>
  <c r="H152" i="10"/>
  <c r="J152" i="10" s="1"/>
  <c r="H115" i="10"/>
  <c r="L115" i="10" s="1"/>
  <c r="H82" i="10"/>
  <c r="L82" i="10" s="1"/>
  <c r="H50" i="10"/>
  <c r="J50" i="10" s="1"/>
  <c r="H114" i="10"/>
  <c r="J114" i="10" s="1"/>
  <c r="H49" i="10"/>
  <c r="J49" i="10" s="1"/>
  <c r="H9" i="10"/>
  <c r="L9" i="10" s="1"/>
  <c r="H170" i="10"/>
  <c r="L170" i="10" s="1"/>
  <c r="H48" i="10"/>
  <c r="L48" i="10" s="1"/>
  <c r="H171" i="10"/>
  <c r="J171" i="10" s="1"/>
  <c r="H172" i="10"/>
  <c r="M18" i="10" l="1"/>
  <c r="J84" i="10"/>
  <c r="M84" i="10" s="1"/>
  <c r="L126" i="10"/>
  <c r="M126" i="10" s="1"/>
  <c r="L192" i="10"/>
  <c r="M192" i="10" s="1"/>
  <c r="J122" i="10"/>
  <c r="M122" i="10" s="1"/>
  <c r="J175" i="10"/>
  <c r="M175" i="10" s="1"/>
  <c r="L101" i="10"/>
  <c r="M101" i="10" s="1"/>
  <c r="J24" i="10"/>
  <c r="M24" i="10" s="1"/>
  <c r="L72" i="10"/>
  <c r="M72" i="10" s="1"/>
  <c r="J118" i="10"/>
  <c r="M118" i="10" s="1"/>
  <c r="J181" i="10"/>
  <c r="M181" i="10" s="1"/>
  <c r="J123" i="10"/>
  <c r="M123" i="10" s="1"/>
  <c r="J117" i="10"/>
  <c r="M117" i="10" s="1"/>
  <c r="J158" i="10"/>
  <c r="M158" i="10" s="1"/>
  <c r="J83" i="10"/>
  <c r="M83" i="10" s="1"/>
  <c r="J73" i="10"/>
  <c r="M73" i="10" s="1"/>
  <c r="J150" i="10"/>
  <c r="M150" i="10" s="1"/>
  <c r="J141" i="10"/>
  <c r="M141" i="10" s="1"/>
  <c r="J96" i="10"/>
  <c r="M96" i="10" s="1"/>
  <c r="L40" i="10"/>
  <c r="M40" i="10" s="1"/>
  <c r="L98" i="10"/>
  <c r="M98" i="10" s="1"/>
  <c r="L90" i="10"/>
  <c r="M90" i="10" s="1"/>
  <c r="J138" i="10"/>
  <c r="M138" i="10" s="1"/>
  <c r="J99" i="10"/>
  <c r="M99" i="10" s="1"/>
  <c r="J87" i="10"/>
  <c r="M87" i="10" s="1"/>
  <c r="J68" i="10"/>
  <c r="M68" i="10" s="1"/>
  <c r="L100" i="10"/>
  <c r="M100" i="10" s="1"/>
  <c r="J85" i="10"/>
  <c r="M85" i="10" s="1"/>
  <c r="J53" i="10"/>
  <c r="M53" i="10" s="1"/>
  <c r="J67" i="10"/>
  <c r="M67" i="10" s="1"/>
  <c r="J116" i="10"/>
  <c r="M116" i="10" s="1"/>
  <c r="J52" i="10"/>
  <c r="M52" i="10" s="1"/>
  <c r="J136" i="10"/>
  <c r="M136" i="10" s="1"/>
  <c r="L51" i="10"/>
  <c r="M51" i="10" s="1"/>
  <c r="J157" i="10"/>
  <c r="M157" i="10" s="1"/>
  <c r="L121" i="10"/>
  <c r="M121" i="10" s="1"/>
  <c r="L149" i="10"/>
  <c r="M149" i="10" s="1"/>
  <c r="L89" i="10"/>
  <c r="M89" i="10" s="1"/>
  <c r="L183" i="10"/>
  <c r="M183" i="10" s="1"/>
  <c r="L152" i="10"/>
  <c r="M152" i="10" s="1"/>
  <c r="J82" i="10"/>
  <c r="M82" i="10" s="1"/>
  <c r="J115" i="10"/>
  <c r="M115" i="10" s="1"/>
  <c r="L114" i="10"/>
  <c r="M114" i="10" s="1"/>
  <c r="J9" i="10"/>
  <c r="M9" i="10" s="1"/>
  <c r="L50" i="10"/>
  <c r="M50" i="10" s="1"/>
  <c r="L49" i="10"/>
  <c r="M49" i="10" s="1"/>
  <c r="J48" i="10"/>
  <c r="M48" i="10" s="1"/>
  <c r="L171" i="10"/>
  <c r="M171" i="10" s="1"/>
  <c r="J170" i="10"/>
  <c r="M170" i="10" s="1"/>
  <c r="J172" i="10"/>
  <c r="L172" i="10"/>
  <c r="K3850" i="2"/>
  <c r="K3851" i="2"/>
  <c r="M3851" i="2" s="1"/>
  <c r="K3852" i="2"/>
  <c r="M3852" i="2" s="1"/>
  <c r="K3853" i="2"/>
  <c r="M3853" i="2" s="1"/>
  <c r="K3854" i="2"/>
  <c r="M3854" i="2" s="1"/>
  <c r="K3855" i="2"/>
  <c r="K3856" i="2"/>
  <c r="K3857" i="2"/>
  <c r="M3857" i="2" s="1"/>
  <c r="K3858" i="2"/>
  <c r="M3858" i="2" s="1"/>
  <c r="K3859" i="2"/>
  <c r="M3859" i="2" s="1"/>
  <c r="K3860" i="2"/>
  <c r="M3860" i="2" s="1"/>
  <c r="K3861" i="2"/>
  <c r="M3861" i="2" s="1"/>
  <c r="K3863" i="2"/>
  <c r="M3863" i="2" s="1"/>
  <c r="K3864" i="2"/>
  <c r="M3864" i="2" s="1"/>
  <c r="K3865" i="2"/>
  <c r="M3865" i="2" s="1"/>
  <c r="K3866" i="2"/>
  <c r="M3866" i="2" s="1"/>
  <c r="K3868" i="2"/>
  <c r="M3868" i="2" s="1"/>
  <c r="K3869" i="2"/>
  <c r="M3869" i="2" s="1"/>
  <c r="K3870" i="2"/>
  <c r="M3870" i="2" s="1"/>
  <c r="K3871" i="2"/>
  <c r="M3871" i="2" s="1"/>
  <c r="K3872" i="2"/>
  <c r="M3872" i="2" s="1"/>
  <c r="K3873" i="2"/>
  <c r="M3873" i="2" s="1"/>
  <c r="K3874" i="2"/>
  <c r="M3874" i="2" s="1"/>
  <c r="K3875" i="2"/>
  <c r="M3875" i="2" s="1"/>
  <c r="K3876" i="2"/>
  <c r="K3877" i="2"/>
  <c r="M3877" i="2" s="1"/>
  <c r="K3878" i="2"/>
  <c r="M3878" i="2" s="1"/>
  <c r="K3879" i="2"/>
  <c r="M3879" i="2" s="1"/>
  <c r="K3880" i="2"/>
  <c r="M3880" i="2" s="1"/>
  <c r="K3882" i="2"/>
  <c r="M3882" i="2" s="1"/>
  <c r="K3883" i="2"/>
  <c r="M3883" i="2" s="1"/>
  <c r="K3884" i="2"/>
  <c r="M3884" i="2" s="1"/>
  <c r="K3886" i="2"/>
  <c r="K3887" i="2"/>
  <c r="M3887" i="2" s="1"/>
  <c r="K3888" i="2"/>
  <c r="M3888" i="2" s="1"/>
  <c r="K3889" i="2"/>
  <c r="M3889" i="2" s="1"/>
  <c r="K3890" i="2"/>
  <c r="M3890" i="2" s="1"/>
  <c r="K3892" i="2"/>
  <c r="M3892" i="2" s="1"/>
  <c r="K3893" i="2"/>
  <c r="M3893" i="2" s="1"/>
  <c r="K3894" i="2"/>
  <c r="M3894" i="2" s="1"/>
  <c r="K3895" i="2"/>
  <c r="M3895" i="2" s="1"/>
  <c r="K3896" i="2"/>
  <c r="M3896" i="2" s="1"/>
  <c r="K3897" i="2"/>
  <c r="M3897" i="2" s="1"/>
  <c r="K3898" i="2"/>
  <c r="M3898" i="2" s="1"/>
  <c r="K3899" i="2"/>
  <c r="M3899" i="2" s="1"/>
  <c r="K3900" i="2"/>
  <c r="M3900" i="2" s="1"/>
  <c r="K3901" i="2"/>
  <c r="M3901" i="2" s="1"/>
  <c r="K3902" i="2"/>
  <c r="M3902" i="2" s="1"/>
  <c r="K3905" i="2"/>
  <c r="M3905" i="2" s="1"/>
  <c r="K3906" i="2"/>
  <c r="M3906" i="2" s="1"/>
  <c r="K3907" i="2"/>
  <c r="M3907" i="2" s="1"/>
  <c r="K3908" i="2"/>
  <c r="M3908" i="2" s="1"/>
  <c r="K3911" i="2"/>
  <c r="M3911" i="2" s="1"/>
  <c r="K3912" i="2"/>
  <c r="M3912" i="2" s="1"/>
  <c r="K3913" i="2"/>
  <c r="M3913" i="2" s="1"/>
  <c r="K3914" i="2"/>
  <c r="M3914" i="2" s="1"/>
  <c r="K3915" i="2"/>
  <c r="M3915" i="2" s="1"/>
  <c r="K3916" i="2"/>
  <c r="M3916" i="2" s="1"/>
  <c r="K3918" i="2"/>
  <c r="M3918" i="2" s="1"/>
  <c r="K3919" i="2"/>
  <c r="M3919" i="2" s="1"/>
  <c r="K3920" i="2"/>
  <c r="M3920" i="2" s="1"/>
  <c r="K3921" i="2"/>
  <c r="M3921" i="2" s="1"/>
  <c r="K3923" i="2"/>
  <c r="M3923" i="2" s="1"/>
  <c r="K3924" i="2"/>
  <c r="M3924" i="2" s="1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H930" i="1"/>
  <c r="J930" i="1" s="1"/>
  <c r="C930" i="1"/>
  <c r="D930" i="1"/>
  <c r="E930" i="1"/>
  <c r="G930" i="1"/>
  <c r="C931" i="1"/>
  <c r="D931" i="1"/>
  <c r="E931" i="1"/>
  <c r="G931" i="1"/>
  <c r="J931" i="1"/>
  <c r="L931" i="1"/>
  <c r="F64" i="10"/>
  <c r="G64" i="10"/>
  <c r="F79" i="10"/>
  <c r="F128" i="10"/>
  <c r="F129" i="10"/>
  <c r="G79" i="10"/>
  <c r="G128" i="10"/>
  <c r="G129" i="10"/>
  <c r="C928" i="1"/>
  <c r="D928" i="1"/>
  <c r="E928" i="1"/>
  <c r="G928" i="1"/>
  <c r="J928" i="1"/>
  <c r="L928" i="1"/>
  <c r="C927" i="1"/>
  <c r="D927" i="1"/>
  <c r="E927" i="1"/>
  <c r="G927" i="1"/>
  <c r="J927" i="1"/>
  <c r="L927" i="1"/>
  <c r="C926" i="1"/>
  <c r="D926" i="1"/>
  <c r="E926" i="1"/>
  <c r="G926" i="1"/>
  <c r="J926" i="1"/>
  <c r="L926" i="1"/>
  <c r="C925" i="1"/>
  <c r="D925" i="1"/>
  <c r="E925" i="1"/>
  <c r="G925" i="1"/>
  <c r="J925" i="1"/>
  <c r="L925" i="1"/>
  <c r="C924" i="1"/>
  <c r="D924" i="1"/>
  <c r="E924" i="1"/>
  <c r="G924" i="1"/>
  <c r="J924" i="1"/>
  <c r="L924" i="1"/>
  <c r="L916" i="1"/>
  <c r="L917" i="1"/>
  <c r="L918" i="1"/>
  <c r="L919" i="1"/>
  <c r="L920" i="1"/>
  <c r="L921" i="1"/>
  <c r="L922" i="1"/>
  <c r="L923" i="1"/>
  <c r="J916" i="1"/>
  <c r="M916" i="1" s="1"/>
  <c r="J917" i="1"/>
  <c r="M917" i="1" s="1"/>
  <c r="J918" i="1"/>
  <c r="M918" i="1" s="1"/>
  <c r="J919" i="1"/>
  <c r="M919" i="1" s="1"/>
  <c r="J920" i="1"/>
  <c r="M920" i="1" s="1"/>
  <c r="J921" i="1"/>
  <c r="M921" i="1" s="1"/>
  <c r="J922" i="1"/>
  <c r="M922" i="1" s="1"/>
  <c r="J923" i="1"/>
  <c r="M923" i="1" s="1"/>
  <c r="F66" i="10"/>
  <c r="G66" i="10"/>
  <c r="F46" i="10"/>
  <c r="G46" i="10"/>
  <c r="F196" i="10"/>
  <c r="G196" i="10"/>
  <c r="F161" i="10"/>
  <c r="G161" i="10"/>
  <c r="C923" i="1"/>
  <c r="D923" i="1"/>
  <c r="E923" i="1"/>
  <c r="G923" i="1"/>
  <c r="C922" i="1"/>
  <c r="D922" i="1"/>
  <c r="E922" i="1"/>
  <c r="G922" i="1"/>
  <c r="G916" i="1"/>
  <c r="G917" i="1"/>
  <c r="G918" i="1"/>
  <c r="G919" i="1"/>
  <c r="G920" i="1"/>
  <c r="G921" i="1"/>
  <c r="D916" i="1"/>
  <c r="D917" i="1"/>
  <c r="D918" i="1"/>
  <c r="D919" i="1"/>
  <c r="D920" i="1"/>
  <c r="D921" i="1"/>
  <c r="E916" i="1"/>
  <c r="E917" i="1"/>
  <c r="E918" i="1"/>
  <c r="E919" i="1"/>
  <c r="E920" i="1"/>
  <c r="E921" i="1"/>
  <c r="C916" i="1"/>
  <c r="C917" i="1"/>
  <c r="C918" i="1"/>
  <c r="C919" i="1"/>
  <c r="C920" i="1"/>
  <c r="C921" i="1"/>
  <c r="F81" i="10"/>
  <c r="G81" i="10"/>
  <c r="F184" i="10"/>
  <c r="G184" i="10"/>
  <c r="F11" i="10"/>
  <c r="G11" i="10"/>
  <c r="F25" i="10"/>
  <c r="G25" i="10"/>
  <c r="F91" i="10"/>
  <c r="G91" i="10"/>
  <c r="C3925" i="2"/>
  <c r="F3925" i="2"/>
  <c r="I3925" i="2"/>
  <c r="J3925" i="2"/>
  <c r="C3924" i="2"/>
  <c r="F3924" i="2"/>
  <c r="I3924" i="2"/>
  <c r="J3924" i="2"/>
  <c r="C3923" i="2"/>
  <c r="F3923" i="2"/>
  <c r="I3923" i="2"/>
  <c r="J3923" i="2"/>
  <c r="C3922" i="2"/>
  <c r="F3922" i="2"/>
  <c r="I3922" i="2"/>
  <c r="J3922" i="2"/>
  <c r="C3921" i="2"/>
  <c r="F3921" i="2"/>
  <c r="I3921" i="2"/>
  <c r="J3921" i="2"/>
  <c r="C3920" i="2"/>
  <c r="F3920" i="2"/>
  <c r="I3920" i="2"/>
  <c r="J3920" i="2"/>
  <c r="C3919" i="2"/>
  <c r="F3919" i="2"/>
  <c r="I3919" i="2"/>
  <c r="J3919" i="2"/>
  <c r="C3918" i="2"/>
  <c r="F3918" i="2"/>
  <c r="I3918" i="2"/>
  <c r="J3918" i="2"/>
  <c r="C3917" i="2"/>
  <c r="F3917" i="2"/>
  <c r="I3917" i="2"/>
  <c r="J3917" i="2"/>
  <c r="C3916" i="2"/>
  <c r="F3916" i="2"/>
  <c r="I3916" i="2"/>
  <c r="J3916" i="2"/>
  <c r="C3915" i="2"/>
  <c r="F3915" i="2"/>
  <c r="I3915" i="2"/>
  <c r="J3915" i="2"/>
  <c r="C3914" i="2"/>
  <c r="F3914" i="2"/>
  <c r="I3914" i="2"/>
  <c r="J3914" i="2"/>
  <c r="C3913" i="2"/>
  <c r="F3913" i="2"/>
  <c r="I3913" i="2"/>
  <c r="J3913" i="2"/>
  <c r="C3912" i="2"/>
  <c r="F3912" i="2"/>
  <c r="I3912" i="2"/>
  <c r="J3912" i="2"/>
  <c r="C3911" i="2"/>
  <c r="F3911" i="2"/>
  <c r="I3911" i="2"/>
  <c r="J3911" i="2"/>
  <c r="C3910" i="2"/>
  <c r="F3910" i="2"/>
  <c r="I3910" i="2"/>
  <c r="J3910" i="2"/>
  <c r="C3909" i="2"/>
  <c r="F3909" i="2"/>
  <c r="I3909" i="2"/>
  <c r="J3909" i="2"/>
  <c r="C3908" i="2"/>
  <c r="F3908" i="2"/>
  <c r="I3908" i="2"/>
  <c r="J3908" i="2"/>
  <c r="F125" i="10"/>
  <c r="G125" i="10"/>
  <c r="C3906" i="2"/>
  <c r="C3907" i="2"/>
  <c r="F3906" i="2"/>
  <c r="F3907" i="2"/>
  <c r="I3906" i="2"/>
  <c r="I3907" i="2"/>
  <c r="J3906" i="2"/>
  <c r="J3907" i="2"/>
  <c r="F176" i="10"/>
  <c r="G176" i="10"/>
  <c r="C3905" i="2"/>
  <c r="F3905" i="2"/>
  <c r="I3905" i="2"/>
  <c r="J3905" i="2"/>
  <c r="C3904" i="2"/>
  <c r="F3904" i="2"/>
  <c r="I3904" i="2"/>
  <c r="J3904" i="2"/>
  <c r="C3903" i="2"/>
  <c r="F3903" i="2"/>
  <c r="I3903" i="2"/>
  <c r="J3903" i="2"/>
  <c r="C3902" i="2"/>
  <c r="F3902" i="2"/>
  <c r="I3902" i="2"/>
  <c r="J3902" i="2"/>
  <c r="C3901" i="2"/>
  <c r="F3901" i="2"/>
  <c r="I3901" i="2"/>
  <c r="J3901" i="2"/>
  <c r="C3900" i="2"/>
  <c r="F3900" i="2"/>
  <c r="I3900" i="2"/>
  <c r="J3900" i="2"/>
  <c r="C3899" i="2"/>
  <c r="F3899" i="2"/>
  <c r="I3899" i="2"/>
  <c r="J3899" i="2"/>
  <c r="C3898" i="2"/>
  <c r="F3898" i="2"/>
  <c r="I3898" i="2"/>
  <c r="J3898" i="2"/>
  <c r="C3897" i="2"/>
  <c r="F3897" i="2"/>
  <c r="I3897" i="2"/>
  <c r="J3897" i="2"/>
  <c r="C3896" i="2"/>
  <c r="F3896" i="2"/>
  <c r="I3896" i="2"/>
  <c r="J3896" i="2"/>
  <c r="C3895" i="2"/>
  <c r="F3895" i="2"/>
  <c r="I3895" i="2"/>
  <c r="J3895" i="2"/>
  <c r="C3894" i="2"/>
  <c r="F3894" i="2"/>
  <c r="I3894" i="2"/>
  <c r="J3894" i="2"/>
  <c r="C3893" i="2"/>
  <c r="F3893" i="2"/>
  <c r="I3893" i="2"/>
  <c r="J3893" i="2"/>
  <c r="C3892" i="2"/>
  <c r="F3892" i="2"/>
  <c r="I3892" i="2"/>
  <c r="J3892" i="2"/>
  <c r="C3891" i="2"/>
  <c r="F3891" i="2"/>
  <c r="I3891" i="2"/>
  <c r="J3891" i="2"/>
  <c r="C3890" i="2"/>
  <c r="F3890" i="2"/>
  <c r="I3890" i="2"/>
  <c r="J3890" i="2"/>
  <c r="F167" i="10"/>
  <c r="G167" i="10"/>
  <c r="F194" i="10"/>
  <c r="G194" i="10"/>
  <c r="F178" i="10"/>
  <c r="G178" i="10"/>
  <c r="F127" i="10"/>
  <c r="G127" i="10"/>
  <c r="C3889" i="2"/>
  <c r="F3889" i="2"/>
  <c r="I3889" i="2"/>
  <c r="J3889" i="2"/>
  <c r="F42" i="10"/>
  <c r="G42" i="10"/>
  <c r="E76" i="10"/>
  <c r="F76" i="10"/>
  <c r="G76" i="10"/>
  <c r="F62" i="10"/>
  <c r="G62" i="10"/>
  <c r="C3879" i="2"/>
  <c r="F3879" i="2"/>
  <c r="I3879" i="2"/>
  <c r="J3879" i="2"/>
  <c r="G3886" i="2"/>
  <c r="I3886" i="2" s="1"/>
  <c r="G3876" i="2"/>
  <c r="I3876" i="2" s="1"/>
  <c r="C3888" i="2"/>
  <c r="F3888" i="2"/>
  <c r="I3888" i="2"/>
  <c r="J3888" i="2"/>
  <c r="C3887" i="2"/>
  <c r="F3887" i="2"/>
  <c r="I3887" i="2"/>
  <c r="J3887" i="2"/>
  <c r="C3886" i="2"/>
  <c r="F3886" i="2"/>
  <c r="J3886" i="2"/>
  <c r="C3885" i="2"/>
  <c r="F3885" i="2"/>
  <c r="I3885" i="2"/>
  <c r="J3885" i="2"/>
  <c r="C3884" i="2"/>
  <c r="F3884" i="2"/>
  <c r="I3884" i="2"/>
  <c r="J3884" i="2"/>
  <c r="C3883" i="2"/>
  <c r="F3883" i="2"/>
  <c r="I3883" i="2"/>
  <c r="J3883" i="2"/>
  <c r="C3882" i="2"/>
  <c r="F3882" i="2"/>
  <c r="I3882" i="2"/>
  <c r="J3882" i="2"/>
  <c r="C3881" i="2"/>
  <c r="F3881" i="2"/>
  <c r="I3881" i="2"/>
  <c r="J3881" i="2"/>
  <c r="C3880" i="2"/>
  <c r="F3880" i="2"/>
  <c r="I3880" i="2"/>
  <c r="J3880" i="2"/>
  <c r="C3878" i="2"/>
  <c r="F3878" i="2"/>
  <c r="I3878" i="2"/>
  <c r="J3878" i="2"/>
  <c r="C3877" i="2"/>
  <c r="F3877" i="2"/>
  <c r="I3877" i="2"/>
  <c r="J3877" i="2"/>
  <c r="C3876" i="2"/>
  <c r="F3876" i="2"/>
  <c r="J3876" i="2"/>
  <c r="C3875" i="2"/>
  <c r="F3875" i="2"/>
  <c r="I3875" i="2"/>
  <c r="J3875" i="2"/>
  <c r="C3874" i="2"/>
  <c r="F3874" i="2"/>
  <c r="I3874" i="2"/>
  <c r="J3874" i="2"/>
  <c r="C3871" i="2"/>
  <c r="F3871" i="2"/>
  <c r="I3871" i="2"/>
  <c r="J3871" i="2"/>
  <c r="C3873" i="2"/>
  <c r="F3873" i="2"/>
  <c r="I3873" i="2"/>
  <c r="J3873" i="2"/>
  <c r="C3872" i="2"/>
  <c r="F3872" i="2"/>
  <c r="I3872" i="2"/>
  <c r="J3872" i="2"/>
  <c r="C3870" i="2"/>
  <c r="F3870" i="2"/>
  <c r="I3870" i="2"/>
  <c r="J3870" i="2"/>
  <c r="C3869" i="2"/>
  <c r="F3869" i="2"/>
  <c r="I3869" i="2"/>
  <c r="J3869" i="2"/>
  <c r="C3868" i="2"/>
  <c r="F3868" i="2"/>
  <c r="I3868" i="2"/>
  <c r="J3868" i="2"/>
  <c r="C3867" i="2"/>
  <c r="F3867" i="2"/>
  <c r="I3867" i="2"/>
  <c r="J3867" i="2"/>
  <c r="C3866" i="2"/>
  <c r="F3866" i="2"/>
  <c r="I3866" i="2"/>
  <c r="J3866" i="2"/>
  <c r="C3865" i="2"/>
  <c r="F3865" i="2"/>
  <c r="I3865" i="2"/>
  <c r="J3865" i="2"/>
  <c r="C3864" i="2"/>
  <c r="F3864" i="2"/>
  <c r="I3864" i="2"/>
  <c r="J3864" i="2"/>
  <c r="C3863" i="2"/>
  <c r="F3863" i="2"/>
  <c r="I3863" i="2"/>
  <c r="J3863" i="2"/>
  <c r="C3862" i="2"/>
  <c r="F3862" i="2"/>
  <c r="I3862" i="2"/>
  <c r="J3862" i="2"/>
  <c r="C3861" i="2"/>
  <c r="F3861" i="2"/>
  <c r="I3861" i="2"/>
  <c r="J3861" i="2"/>
  <c r="G3856" i="2"/>
  <c r="I3856" i="2" s="1"/>
  <c r="G3855" i="2"/>
  <c r="I3855" i="2" s="1"/>
  <c r="I3850" i="2"/>
  <c r="I3851" i="2"/>
  <c r="I3852" i="2"/>
  <c r="I3853" i="2"/>
  <c r="I3854" i="2"/>
  <c r="I3857" i="2"/>
  <c r="I3858" i="2"/>
  <c r="I3859" i="2"/>
  <c r="I3860" i="2"/>
  <c r="J3850" i="2"/>
  <c r="J3851" i="2"/>
  <c r="J3852" i="2"/>
  <c r="J3853" i="2"/>
  <c r="J3854" i="2"/>
  <c r="J3855" i="2"/>
  <c r="J3856" i="2"/>
  <c r="J3857" i="2"/>
  <c r="J3858" i="2"/>
  <c r="J3859" i="2"/>
  <c r="J3860" i="2"/>
  <c r="F3850" i="2"/>
  <c r="F3851" i="2"/>
  <c r="F3852" i="2"/>
  <c r="F3853" i="2"/>
  <c r="F3854" i="2"/>
  <c r="F3855" i="2"/>
  <c r="F3856" i="2"/>
  <c r="F3857" i="2"/>
  <c r="F3858" i="2"/>
  <c r="F3859" i="2"/>
  <c r="F3860" i="2"/>
  <c r="C3850" i="2"/>
  <c r="C3851" i="2"/>
  <c r="C3852" i="2"/>
  <c r="C3853" i="2"/>
  <c r="C3854" i="2"/>
  <c r="C3855" i="2"/>
  <c r="C3856" i="2"/>
  <c r="C3857" i="2"/>
  <c r="C3858" i="2"/>
  <c r="C3859" i="2"/>
  <c r="C3860" i="2"/>
  <c r="M3833" i="2"/>
  <c r="M3834" i="2"/>
  <c r="M3835" i="2"/>
  <c r="M3836" i="2"/>
  <c r="M3837" i="2"/>
  <c r="M3838" i="2"/>
  <c r="M3839" i="2"/>
  <c r="M3840" i="2"/>
  <c r="M3841" i="2"/>
  <c r="M3831" i="2"/>
  <c r="C3832" i="2"/>
  <c r="C3833" i="2"/>
  <c r="C3834" i="2"/>
  <c r="C3835" i="2"/>
  <c r="C3836" i="2"/>
  <c r="C3837" i="2"/>
  <c r="C3838" i="2"/>
  <c r="C3839" i="2"/>
  <c r="C3840" i="2"/>
  <c r="C3841" i="2"/>
  <c r="I3831" i="2"/>
  <c r="I3833" i="2"/>
  <c r="I3834" i="2"/>
  <c r="I3835" i="2"/>
  <c r="I3836" i="2"/>
  <c r="I3837" i="2"/>
  <c r="I3838" i="2"/>
  <c r="I3839" i="2"/>
  <c r="I3840" i="2"/>
  <c r="I3841" i="2"/>
  <c r="G3832" i="2"/>
  <c r="M3832" i="2" s="1"/>
  <c r="C3831" i="2"/>
  <c r="N3841" i="2" l="1"/>
  <c r="L930" i="1"/>
  <c r="N3906" i="2"/>
  <c r="N3838" i="2"/>
  <c r="M3876" i="2"/>
  <c r="N3876" i="2" s="1"/>
  <c r="M3856" i="2"/>
  <c r="N3856" i="2" s="1"/>
  <c r="M3855" i="2"/>
  <c r="N3855" i="2" s="1"/>
  <c r="M3886" i="2"/>
  <c r="N3886" i="2" s="1"/>
  <c r="N3923" i="2"/>
  <c r="N3919" i="2"/>
  <c r="N3915" i="2"/>
  <c r="N3911" i="2"/>
  <c r="N3907" i="2"/>
  <c r="N3899" i="2"/>
  <c r="N3895" i="2"/>
  <c r="N3887" i="2"/>
  <c r="N3883" i="2"/>
  <c r="N3879" i="2"/>
  <c r="N3851" i="2"/>
  <c r="N3875" i="2"/>
  <c r="N3871" i="2"/>
  <c r="N3863" i="2"/>
  <c r="N3859" i="2"/>
  <c r="N3918" i="2"/>
  <c r="N3902" i="2"/>
  <c r="N3898" i="2"/>
  <c r="N3894" i="2"/>
  <c r="N3890" i="2"/>
  <c r="N3882" i="2"/>
  <c r="N3878" i="2"/>
  <c r="N3874" i="2"/>
  <c r="N3870" i="2"/>
  <c r="N3866" i="2"/>
  <c r="N3858" i="2"/>
  <c r="N3854" i="2"/>
  <c r="N3921" i="2"/>
  <c r="N3913" i="2"/>
  <c r="N3905" i="2"/>
  <c r="N3897" i="2"/>
  <c r="N3889" i="2"/>
  <c r="N3877" i="2"/>
  <c r="N3873" i="2"/>
  <c r="N3865" i="2"/>
  <c r="N3857" i="2"/>
  <c r="N3924" i="2"/>
  <c r="N3920" i="2"/>
  <c r="N3916" i="2"/>
  <c r="N3912" i="2"/>
  <c r="N3908" i="2"/>
  <c r="N3900" i="2"/>
  <c r="N3896" i="2"/>
  <c r="N3892" i="2"/>
  <c r="N3888" i="2"/>
  <c r="N3884" i="2"/>
  <c r="N3880" i="2"/>
  <c r="N3872" i="2"/>
  <c r="N3868" i="2"/>
  <c r="N3864" i="2"/>
  <c r="N3860" i="2"/>
  <c r="N3852" i="2"/>
  <c r="M930" i="1"/>
  <c r="M172" i="10"/>
  <c r="H64" i="10"/>
  <c r="J64" i="10" s="1"/>
  <c r="N3901" i="2"/>
  <c r="N3914" i="2"/>
  <c r="N3869" i="2"/>
  <c r="N3861" i="2"/>
  <c r="N3853" i="2"/>
  <c r="N3893" i="2"/>
  <c r="M3850" i="2"/>
  <c r="N3850" i="2" s="1"/>
  <c r="M931" i="1"/>
  <c r="H129" i="10"/>
  <c r="M928" i="1"/>
  <c r="M927" i="1"/>
  <c r="M926" i="1"/>
  <c r="H128" i="10"/>
  <c r="H79" i="10"/>
  <c r="M924" i="1"/>
  <c r="H66" i="10"/>
  <c r="M925" i="1"/>
  <c r="H161" i="10"/>
  <c r="H46" i="10"/>
  <c r="H196" i="10"/>
  <c r="H184" i="10"/>
  <c r="H91" i="10"/>
  <c r="N3840" i="2"/>
  <c r="N3836" i="2"/>
  <c r="I3832" i="2"/>
  <c r="N3832" i="2" s="1"/>
  <c r="N3831" i="2"/>
  <c r="H81" i="10"/>
  <c r="H11" i="10"/>
  <c r="H25" i="10"/>
  <c r="H194" i="10"/>
  <c r="H125" i="10"/>
  <c r="N3835" i="2"/>
  <c r="N3834" i="2"/>
  <c r="N3837" i="2"/>
  <c r="N3833" i="2"/>
  <c r="H176" i="10"/>
  <c r="H127" i="10"/>
  <c r="H167" i="10"/>
  <c r="H178" i="10"/>
  <c r="H42" i="10"/>
  <c r="H76" i="10"/>
  <c r="N3839" i="2"/>
  <c r="H62" i="10"/>
  <c r="E185" i="10"/>
  <c r="E165" i="10"/>
  <c r="E131" i="10"/>
  <c r="E108" i="10"/>
  <c r="E146" i="10"/>
  <c r="E144" i="10"/>
  <c r="E104" i="10"/>
  <c r="E107" i="10"/>
  <c r="E38" i="10"/>
  <c r="E106" i="10"/>
  <c r="E41" i="10"/>
  <c r="E173" i="10"/>
  <c r="E110" i="10"/>
  <c r="E153" i="10"/>
  <c r="E29" i="10"/>
  <c r="E3" i="10"/>
  <c r="E179" i="10"/>
  <c r="E143" i="10"/>
  <c r="E142" i="10"/>
  <c r="E134" i="10"/>
  <c r="E103" i="10"/>
  <c r="E156" i="10"/>
  <c r="E45" i="10"/>
  <c r="E130" i="10"/>
  <c r="E30" i="10"/>
  <c r="E162" i="10"/>
  <c r="E78" i="10"/>
  <c r="E189" i="10"/>
  <c r="E75" i="10"/>
  <c r="E34" i="10"/>
  <c r="E133" i="10"/>
  <c r="E151" i="10"/>
  <c r="E31" i="10"/>
  <c r="E36" i="10"/>
  <c r="E39" i="10"/>
  <c r="E154" i="10"/>
  <c r="E155" i="10"/>
  <c r="E193" i="10"/>
  <c r="E195" i="10"/>
  <c r="E163" i="10"/>
  <c r="E119" i="10"/>
  <c r="E111" i="10"/>
  <c r="E43" i="10"/>
  <c r="E132" i="10"/>
  <c r="F174" i="10"/>
  <c r="G174" i="10"/>
  <c r="L64" i="10" l="1"/>
  <c r="M64" i="10" s="1"/>
  <c r="L127" i="10"/>
  <c r="J127" i="10"/>
  <c r="L194" i="10"/>
  <c r="J194" i="10"/>
  <c r="L91" i="10"/>
  <c r="J91" i="10"/>
  <c r="L161" i="10"/>
  <c r="J161" i="10"/>
  <c r="L79" i="10"/>
  <c r="J79" i="10"/>
  <c r="L167" i="10"/>
  <c r="J167" i="10"/>
  <c r="L125" i="10"/>
  <c r="J125" i="10"/>
  <c r="L81" i="10"/>
  <c r="J81" i="10"/>
  <c r="L46" i="10"/>
  <c r="J46" i="10"/>
  <c r="L76" i="10"/>
  <c r="J76" i="10"/>
  <c r="L42" i="10"/>
  <c r="J42" i="10"/>
  <c r="L25" i="10"/>
  <c r="J25" i="10"/>
  <c r="L184" i="10"/>
  <c r="J184" i="10"/>
  <c r="L128" i="10"/>
  <c r="J128" i="10"/>
  <c r="L129" i="10"/>
  <c r="J129" i="10"/>
  <c r="L176" i="10"/>
  <c r="J176" i="10"/>
  <c r="L62" i="10"/>
  <c r="J62" i="10"/>
  <c r="L178" i="10"/>
  <c r="J178" i="10"/>
  <c r="L11" i="10"/>
  <c r="J11" i="10"/>
  <c r="L196" i="10"/>
  <c r="J196" i="10"/>
  <c r="L66" i="10"/>
  <c r="J66" i="10"/>
  <c r="H174" i="10"/>
  <c r="I200" i="10"/>
  <c r="G148" i="10"/>
  <c r="G20" i="10"/>
  <c r="G21" i="10"/>
  <c r="G19" i="10"/>
  <c r="G59" i="10"/>
  <c r="G58" i="10"/>
  <c r="G57" i="10"/>
  <c r="G60" i="10"/>
  <c r="G186" i="10"/>
  <c r="G185" i="10"/>
  <c r="G165" i="10"/>
  <c r="G131" i="10"/>
  <c r="G108" i="10"/>
  <c r="G146" i="10"/>
  <c r="G164" i="10"/>
  <c r="G144" i="10"/>
  <c r="G105" i="10"/>
  <c r="G104" i="10"/>
  <c r="G107" i="10"/>
  <c r="G38" i="10"/>
  <c r="G106" i="10"/>
  <c r="G41" i="10"/>
  <c r="G173" i="10"/>
  <c r="G110" i="10"/>
  <c r="G153" i="10"/>
  <c r="G29" i="10"/>
  <c r="G3" i="10"/>
  <c r="G177" i="10"/>
  <c r="G135" i="10"/>
  <c r="G7" i="10"/>
  <c r="G179" i="10"/>
  <c r="G80" i="10"/>
  <c r="G143" i="10"/>
  <c r="G142" i="10"/>
  <c r="G134" i="10"/>
  <c r="G103" i="10"/>
  <c r="G156" i="10"/>
  <c r="G77" i="10"/>
  <c r="G45" i="10"/>
  <c r="G130" i="10"/>
  <c r="G30" i="10"/>
  <c r="G162" i="10"/>
  <c r="G78" i="10"/>
  <c r="G189" i="10"/>
  <c r="G147" i="10"/>
  <c r="G190" i="10"/>
  <c r="G140" i="10"/>
  <c r="G69" i="10"/>
  <c r="G71" i="10"/>
  <c r="G70" i="10"/>
  <c r="G75" i="10"/>
  <c r="G120" i="10"/>
  <c r="G34" i="10"/>
  <c r="G133" i="10"/>
  <c r="G32" i="10"/>
  <c r="G151" i="10"/>
  <c r="G26" i="10"/>
  <c r="G31" i="10"/>
  <c r="G54" i="10"/>
  <c r="G15" i="10"/>
  <c r="G16" i="10"/>
  <c r="G55" i="10"/>
  <c r="G36" i="10"/>
  <c r="G37" i="10"/>
  <c r="G39" i="10"/>
  <c r="G35" i="10"/>
  <c r="G154" i="10"/>
  <c r="G155" i="10"/>
  <c r="G193" i="10"/>
  <c r="G28" i="10"/>
  <c r="G195" i="10"/>
  <c r="G163" i="10"/>
  <c r="G119" i="10"/>
  <c r="G111" i="10"/>
  <c r="G43" i="10"/>
  <c r="G132" i="10"/>
  <c r="G180" i="10"/>
  <c r="G187" i="10"/>
  <c r="G113" i="10"/>
  <c r="G88" i="10"/>
  <c r="G200" i="10"/>
  <c r="F148" i="10"/>
  <c r="F20" i="10"/>
  <c r="F21" i="10"/>
  <c r="F19" i="10"/>
  <c r="F59" i="10"/>
  <c r="F58" i="10"/>
  <c r="F57" i="10"/>
  <c r="F60" i="10"/>
  <c r="F186" i="10"/>
  <c r="F185" i="10"/>
  <c r="F165" i="10"/>
  <c r="F131" i="10"/>
  <c r="F108" i="10"/>
  <c r="F146" i="10"/>
  <c r="F164" i="10"/>
  <c r="F144" i="10"/>
  <c r="F105" i="10"/>
  <c r="F104" i="10"/>
  <c r="F107" i="10"/>
  <c r="F38" i="10"/>
  <c r="F106" i="10"/>
  <c r="F41" i="10"/>
  <c r="F173" i="10"/>
  <c r="F110" i="10"/>
  <c r="F153" i="10"/>
  <c r="F29" i="10"/>
  <c r="F3" i="10"/>
  <c r="F177" i="10"/>
  <c r="F135" i="10"/>
  <c r="F7" i="10"/>
  <c r="F179" i="10"/>
  <c r="F80" i="10"/>
  <c r="F143" i="10"/>
  <c r="F142" i="10"/>
  <c r="F134" i="10"/>
  <c r="F103" i="10"/>
  <c r="F156" i="10"/>
  <c r="F77" i="10"/>
  <c r="F45" i="10"/>
  <c r="F130" i="10"/>
  <c r="F30" i="10"/>
  <c r="F162" i="10"/>
  <c r="F78" i="10"/>
  <c r="F189" i="10"/>
  <c r="F147" i="10"/>
  <c r="F190" i="10"/>
  <c r="F140" i="10"/>
  <c r="F69" i="10"/>
  <c r="F71" i="10"/>
  <c r="F70" i="10"/>
  <c r="F75" i="10"/>
  <c r="F120" i="10"/>
  <c r="F34" i="10"/>
  <c r="F133" i="10"/>
  <c r="F32" i="10"/>
  <c r="F151" i="10"/>
  <c r="F26" i="10"/>
  <c r="F31" i="10"/>
  <c r="F54" i="10"/>
  <c r="F15" i="10"/>
  <c r="F16" i="10"/>
  <c r="F55" i="10"/>
  <c r="F36" i="10"/>
  <c r="F37" i="10"/>
  <c r="F39" i="10"/>
  <c r="F35" i="10"/>
  <c r="F154" i="10"/>
  <c r="F155" i="10"/>
  <c r="F193" i="10"/>
  <c r="F28" i="10"/>
  <c r="F195" i="10"/>
  <c r="F163" i="10"/>
  <c r="F119" i="10"/>
  <c r="F111" i="10"/>
  <c r="F43" i="10"/>
  <c r="F132" i="10"/>
  <c r="F180" i="10"/>
  <c r="F187" i="10"/>
  <c r="F113" i="10"/>
  <c r="F88" i="10"/>
  <c r="F200" i="10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H896" i="1"/>
  <c r="L896" i="1" s="1"/>
  <c r="H895" i="1"/>
  <c r="J895" i="1" s="1"/>
  <c r="H894" i="1"/>
  <c r="L894" i="1" s="1"/>
  <c r="H893" i="1"/>
  <c r="J893" i="1" s="1"/>
  <c r="H892" i="1"/>
  <c r="H891" i="1"/>
  <c r="L892" i="1"/>
  <c r="L891" i="1"/>
  <c r="J892" i="1"/>
  <c r="J891" i="1"/>
  <c r="J890" i="1"/>
  <c r="J889" i="1"/>
  <c r="J888" i="1"/>
  <c r="J887" i="1"/>
  <c r="J886" i="1"/>
  <c r="J885" i="1"/>
  <c r="L884" i="1"/>
  <c r="L883" i="1"/>
  <c r="L882" i="1"/>
  <c r="J884" i="1"/>
  <c r="J883" i="1"/>
  <c r="J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61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7" i="1"/>
  <c r="J868" i="1"/>
  <c r="J866" i="1"/>
  <c r="J865" i="1"/>
  <c r="J864" i="1"/>
  <c r="J863" i="1"/>
  <c r="J862" i="1"/>
  <c r="J861" i="1"/>
  <c r="J860" i="1"/>
  <c r="J612" i="1"/>
  <c r="J859" i="1"/>
  <c r="J858" i="1"/>
  <c r="J857" i="1"/>
  <c r="J856" i="1"/>
  <c r="J855" i="1"/>
  <c r="J854" i="1"/>
  <c r="J846" i="1"/>
  <c r="J847" i="1"/>
  <c r="J848" i="1"/>
  <c r="J849" i="1"/>
  <c r="J850" i="1"/>
  <c r="J851" i="1"/>
  <c r="J852" i="1"/>
  <c r="J853" i="1"/>
  <c r="J845" i="1"/>
  <c r="J836" i="1"/>
  <c r="J837" i="1"/>
  <c r="J838" i="1"/>
  <c r="J839" i="1"/>
  <c r="J840" i="1"/>
  <c r="J841" i="1"/>
  <c r="J842" i="1"/>
  <c r="J843" i="1"/>
  <c r="J844" i="1"/>
  <c r="J835" i="1"/>
  <c r="J833" i="1"/>
  <c r="J834" i="1"/>
  <c r="J832" i="1"/>
  <c r="J831" i="1"/>
  <c r="J830" i="1"/>
  <c r="J824" i="1"/>
  <c r="J825" i="1"/>
  <c r="J826" i="1"/>
  <c r="J827" i="1"/>
  <c r="J828" i="1"/>
  <c r="J829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11" i="1"/>
  <c r="J810" i="1"/>
  <c r="J809" i="1"/>
  <c r="J808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795" i="1"/>
  <c r="J792" i="1"/>
  <c r="J793" i="1"/>
  <c r="J794" i="1"/>
  <c r="J791" i="1"/>
  <c r="J790" i="1"/>
  <c r="J789" i="1"/>
  <c r="J788" i="1"/>
  <c r="J787" i="1"/>
  <c r="J786" i="1"/>
  <c r="J785" i="1"/>
  <c r="J784" i="1"/>
  <c r="J783" i="1"/>
  <c r="J778" i="1"/>
  <c r="J779" i="1"/>
  <c r="J780" i="1"/>
  <c r="J781" i="1"/>
  <c r="J782" i="1"/>
  <c r="K4355" i="2" l="1"/>
  <c r="K4359" i="2"/>
  <c r="K4341" i="2"/>
  <c r="K4348" i="2"/>
  <c r="K4338" i="2"/>
  <c r="K4335" i="2"/>
  <c r="K4307" i="2"/>
  <c r="K4289" i="2"/>
  <c r="K4278" i="2"/>
  <c r="K4302" i="2"/>
  <c r="M4302" i="2" s="1"/>
  <c r="N4302" i="2" s="1"/>
  <c r="K4282" i="2"/>
  <c r="K4264" i="2"/>
  <c r="K4252" i="2"/>
  <c r="M4252" i="2" s="1"/>
  <c r="N4252" i="2" s="1"/>
  <c r="K4320" i="2"/>
  <c r="K4317" i="2"/>
  <c r="M4317" i="2" s="1"/>
  <c r="N4317" i="2" s="1"/>
  <c r="K4284" i="2"/>
  <c r="M4284" i="2" s="1"/>
  <c r="N4284" i="2" s="1"/>
  <c r="K4251" i="2"/>
  <c r="K4295" i="2"/>
  <c r="K4288" i="2"/>
  <c r="K4275" i="2"/>
  <c r="K4270" i="2"/>
  <c r="K4266" i="2"/>
  <c r="K4327" i="2"/>
  <c r="K4192" i="2"/>
  <c r="K4190" i="2"/>
  <c r="K4234" i="2"/>
  <c r="M4234" i="2" s="1"/>
  <c r="N4234" i="2" s="1"/>
  <c r="K4238" i="2"/>
  <c r="K4167" i="2"/>
  <c r="K4203" i="2"/>
  <c r="M4203" i="2" s="1"/>
  <c r="N4203" i="2" s="1"/>
  <c r="K4198" i="2"/>
  <c r="K4232" i="2"/>
  <c r="K4241" i="2"/>
  <c r="K4223" i="2"/>
  <c r="K4184" i="2"/>
  <c r="K4182" i="2"/>
  <c r="K4123" i="2"/>
  <c r="K4125" i="2"/>
  <c r="K4131" i="2"/>
  <c r="K4146" i="2"/>
  <c r="K4139" i="2"/>
  <c r="K4119" i="2"/>
  <c r="K4096" i="2"/>
  <c r="M4096" i="2" s="1"/>
  <c r="N4096" i="2" s="1"/>
  <c r="K4047" i="2"/>
  <c r="K4116" i="2"/>
  <c r="K4104" i="2"/>
  <c r="K4109" i="2"/>
  <c r="K4087" i="2"/>
  <c r="K4075" i="2"/>
  <c r="M4075" i="2" s="1"/>
  <c r="N4075" i="2" s="1"/>
  <c r="K4051" i="2"/>
  <c r="K4049" i="2"/>
  <c r="K4106" i="2"/>
  <c r="J896" i="1"/>
  <c r="M896" i="1" s="1"/>
  <c r="L895" i="1"/>
  <c r="M895" i="1" s="1"/>
  <c r="K4021" i="2"/>
  <c r="K4036" i="2"/>
  <c r="K4016" i="2"/>
  <c r="K3984" i="2"/>
  <c r="K3934" i="2"/>
  <c r="K3974" i="2"/>
  <c r="K3959" i="2"/>
  <c r="K3957" i="2"/>
  <c r="K4010" i="2"/>
  <c r="K3978" i="2"/>
  <c r="K3973" i="2"/>
  <c r="K3995" i="2"/>
  <c r="K3966" i="2"/>
  <c r="K3867" i="2"/>
  <c r="K3891" i="2"/>
  <c r="K3903" i="2"/>
  <c r="K3904" i="2"/>
  <c r="K3881" i="2"/>
  <c r="K3885" i="2"/>
  <c r="K3909" i="2"/>
  <c r="K3917" i="2"/>
  <c r="K3925" i="2"/>
  <c r="K3862" i="2"/>
  <c r="K3910" i="2"/>
  <c r="K3922" i="2"/>
  <c r="M25" i="10"/>
  <c r="M176" i="10"/>
  <c r="M125" i="10"/>
  <c r="M194" i="10"/>
  <c r="M66" i="10"/>
  <c r="M81" i="10"/>
  <c r="M128" i="10"/>
  <c r="M79" i="10"/>
  <c r="M91" i="10"/>
  <c r="M11" i="10"/>
  <c r="M62" i="10"/>
  <c r="M127" i="10"/>
  <c r="M184" i="10"/>
  <c r="M167" i="10"/>
  <c r="M178" i="10"/>
  <c r="M42" i="10"/>
  <c r="M46" i="10"/>
  <c r="M196" i="10"/>
  <c r="M129" i="10"/>
  <c r="M161" i="10"/>
  <c r="M76" i="10"/>
  <c r="L174" i="10"/>
  <c r="J174" i="10"/>
  <c r="H187" i="10"/>
  <c r="H111" i="10"/>
  <c r="H28" i="10"/>
  <c r="H35" i="10"/>
  <c r="H55" i="10"/>
  <c r="H133" i="10"/>
  <c r="H70" i="10"/>
  <c r="H190" i="10"/>
  <c r="H162" i="10"/>
  <c r="H77" i="10"/>
  <c r="H142" i="10"/>
  <c r="H7" i="10"/>
  <c r="H29" i="10"/>
  <c r="H41" i="10"/>
  <c r="H104" i="10"/>
  <c r="H146" i="10"/>
  <c r="H185" i="10"/>
  <c r="H58" i="10"/>
  <c r="H20" i="10"/>
  <c r="H31" i="10"/>
  <c r="H108" i="10"/>
  <c r="H186" i="10"/>
  <c r="H59" i="10"/>
  <c r="H148" i="10"/>
  <c r="H113" i="10"/>
  <c r="H43" i="10"/>
  <c r="H195" i="10"/>
  <c r="H154" i="10"/>
  <c r="H36" i="10"/>
  <c r="H54" i="10"/>
  <c r="H32" i="10"/>
  <c r="H75" i="10"/>
  <c r="H140" i="10"/>
  <c r="H78" i="10"/>
  <c r="H45" i="10"/>
  <c r="H134" i="10"/>
  <c r="H179" i="10"/>
  <c r="H3" i="10"/>
  <c r="H173" i="10"/>
  <c r="H107" i="10"/>
  <c r="H164" i="10"/>
  <c r="H165" i="10"/>
  <c r="H57" i="10"/>
  <c r="H21" i="10"/>
  <c r="M883" i="1"/>
  <c r="M612" i="1"/>
  <c r="H88" i="10"/>
  <c r="H132" i="10"/>
  <c r="H163" i="10"/>
  <c r="H155" i="10"/>
  <c r="H37" i="10"/>
  <c r="H15" i="10"/>
  <c r="H151" i="10"/>
  <c r="H120" i="10"/>
  <c r="H69" i="10"/>
  <c r="H189" i="10"/>
  <c r="H130" i="10"/>
  <c r="H103" i="10"/>
  <c r="H80" i="10"/>
  <c r="H177" i="10"/>
  <c r="H110" i="10"/>
  <c r="H38" i="10"/>
  <c r="H144" i="10"/>
  <c r="H131" i="10"/>
  <c r="H60" i="10"/>
  <c r="H19" i="10"/>
  <c r="H200" i="10"/>
  <c r="H180" i="10"/>
  <c r="H119" i="10"/>
  <c r="H193" i="10"/>
  <c r="H39" i="10"/>
  <c r="H16" i="10"/>
  <c r="H26" i="10"/>
  <c r="H34" i="10"/>
  <c r="H71" i="10"/>
  <c r="H147" i="10"/>
  <c r="H30" i="10"/>
  <c r="H156" i="10"/>
  <c r="H143" i="10"/>
  <c r="H135" i="10"/>
  <c r="H153" i="10"/>
  <c r="H106" i="10"/>
  <c r="H105" i="10"/>
  <c r="M891" i="1"/>
  <c r="M892" i="1"/>
  <c r="L893" i="1"/>
  <c r="M893" i="1" s="1"/>
  <c r="J894" i="1"/>
  <c r="M894" i="1" s="1"/>
  <c r="M882" i="1"/>
  <c r="M878" i="1"/>
  <c r="M884" i="1"/>
  <c r="M862" i="1"/>
  <c r="M866" i="1"/>
  <c r="M870" i="1"/>
  <c r="M874" i="1"/>
  <c r="M863" i="1"/>
  <c r="M867" i="1"/>
  <c r="M871" i="1"/>
  <c r="M875" i="1"/>
  <c r="M879" i="1"/>
  <c r="M860" i="1"/>
  <c r="M864" i="1"/>
  <c r="M868" i="1"/>
  <c r="M872" i="1"/>
  <c r="M876" i="1"/>
  <c r="M880" i="1"/>
  <c r="M861" i="1"/>
  <c r="M865" i="1"/>
  <c r="M869" i="1"/>
  <c r="M873" i="1"/>
  <c r="M877" i="1"/>
  <c r="M881" i="1"/>
  <c r="J770" i="1"/>
  <c r="J771" i="1"/>
  <c r="J772" i="1"/>
  <c r="J773" i="1"/>
  <c r="J774" i="1"/>
  <c r="J775" i="1"/>
  <c r="J776" i="1"/>
  <c r="J777" i="1"/>
  <c r="J769" i="1"/>
  <c r="J768" i="1"/>
  <c r="J767" i="1"/>
  <c r="J766" i="1"/>
  <c r="J764" i="1"/>
  <c r="J765" i="1"/>
  <c r="J763" i="1"/>
  <c r="J762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39" i="1"/>
  <c r="J740" i="1"/>
  <c r="J741" i="1"/>
  <c r="J742" i="1"/>
  <c r="J743" i="1"/>
  <c r="J744" i="1"/>
  <c r="J745" i="1"/>
  <c r="J738" i="1"/>
  <c r="J737" i="1"/>
  <c r="J736" i="1"/>
  <c r="J735" i="1"/>
  <c r="J734" i="1"/>
  <c r="J733" i="1"/>
  <c r="J417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723" i="1"/>
  <c r="J724" i="1"/>
  <c r="J725" i="1"/>
  <c r="J726" i="1"/>
  <c r="J727" i="1"/>
  <c r="J728" i="1"/>
  <c r="J729" i="1"/>
  <c r="J730" i="1"/>
  <c r="J731" i="1"/>
  <c r="J732" i="1"/>
  <c r="J697" i="1"/>
  <c r="J688" i="1"/>
  <c r="J689" i="1"/>
  <c r="J690" i="1"/>
  <c r="J691" i="1"/>
  <c r="J692" i="1"/>
  <c r="J693" i="1"/>
  <c r="J694" i="1"/>
  <c r="J695" i="1"/>
  <c r="J696" i="1"/>
  <c r="J680" i="1"/>
  <c r="J681" i="1"/>
  <c r="J682" i="1"/>
  <c r="J683" i="1"/>
  <c r="J684" i="1"/>
  <c r="J685" i="1"/>
  <c r="J686" i="1"/>
  <c r="J687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39" i="1"/>
  <c r="J640" i="1"/>
  <c r="J641" i="1"/>
  <c r="J642" i="1"/>
  <c r="J643" i="1"/>
  <c r="J644" i="1"/>
  <c r="J645" i="1"/>
  <c r="J646" i="1"/>
  <c r="J647" i="1"/>
  <c r="J633" i="1"/>
  <c r="J634" i="1"/>
  <c r="J635" i="1"/>
  <c r="J636" i="1"/>
  <c r="J637" i="1"/>
  <c r="J638" i="1"/>
  <c r="J632" i="1"/>
  <c r="J631" i="1"/>
  <c r="J630" i="1"/>
  <c r="J629" i="1"/>
  <c r="J628" i="1"/>
  <c r="J627" i="1"/>
  <c r="J626" i="1"/>
  <c r="J625" i="1"/>
  <c r="J622" i="1"/>
  <c r="J623" i="1"/>
  <c r="J624" i="1"/>
  <c r="J621" i="1"/>
  <c r="J617" i="1"/>
  <c r="J618" i="1"/>
  <c r="J619" i="1"/>
  <c r="J620" i="1"/>
  <c r="J616" i="1"/>
  <c r="L615" i="1"/>
  <c r="L614" i="1"/>
  <c r="L613" i="1"/>
  <c r="J615" i="1"/>
  <c r="J614" i="1"/>
  <c r="J613" i="1"/>
  <c r="M4348" i="2" l="1"/>
  <c r="N4348" i="2" s="1"/>
  <c r="M4341" i="2"/>
  <c r="N4341" i="2" s="1"/>
  <c r="M4359" i="2"/>
  <c r="N4359" i="2" s="1"/>
  <c r="M4355" i="2"/>
  <c r="N4355" i="2" s="1"/>
  <c r="M4275" i="2"/>
  <c r="N4275" i="2" s="1"/>
  <c r="N4264" i="2"/>
  <c r="E70" i="7" s="1"/>
  <c r="M4289" i="2"/>
  <c r="N4289" i="2" s="1"/>
  <c r="M4327" i="2"/>
  <c r="N4327" i="2" s="1"/>
  <c r="M4288" i="2"/>
  <c r="N4288" i="2" s="1"/>
  <c r="M4282" i="2"/>
  <c r="N4282" i="2" s="1"/>
  <c r="M4307" i="2"/>
  <c r="N4307" i="2" s="1"/>
  <c r="N4266" i="2"/>
  <c r="M4295" i="2"/>
  <c r="N4295" i="2" s="1"/>
  <c r="M4320" i="2"/>
  <c r="N4320" i="2" s="1"/>
  <c r="M4335" i="2"/>
  <c r="N4335" i="2" s="1"/>
  <c r="N4270" i="2"/>
  <c r="M4251" i="2"/>
  <c r="N4251" i="2" s="1"/>
  <c r="M4278" i="2"/>
  <c r="N4278" i="2" s="1"/>
  <c r="M4338" i="2"/>
  <c r="N4338" i="2" s="1"/>
  <c r="M4106" i="2"/>
  <c r="N4106" i="2" s="1"/>
  <c r="M4087" i="2"/>
  <c r="N4087" i="2" s="1"/>
  <c r="M4047" i="2"/>
  <c r="N4047" i="2" s="1"/>
  <c r="M4146" i="2"/>
  <c r="N4146" i="2" s="1"/>
  <c r="M4182" i="2"/>
  <c r="N4182" i="2" s="1"/>
  <c r="M4232" i="2"/>
  <c r="N4232" i="2" s="1"/>
  <c r="M4238" i="2"/>
  <c r="N4238" i="2" s="1"/>
  <c r="M4049" i="2"/>
  <c r="N4049" i="2" s="1"/>
  <c r="M4109" i="2"/>
  <c r="N4109" i="2" s="1"/>
  <c r="M4131" i="2"/>
  <c r="N4131" i="2" s="1"/>
  <c r="M4184" i="2"/>
  <c r="N4184" i="2" s="1"/>
  <c r="M4198" i="2"/>
  <c r="N4198" i="2" s="1"/>
  <c r="M4051" i="2"/>
  <c r="N4051" i="2" s="1"/>
  <c r="M4104" i="2"/>
  <c r="N4104" i="2" s="1"/>
  <c r="M4119" i="2"/>
  <c r="N4119" i="2" s="1"/>
  <c r="M4125" i="2"/>
  <c r="N4125" i="2" s="1"/>
  <c r="M4223" i="2"/>
  <c r="N4223" i="2" s="1"/>
  <c r="M4190" i="2"/>
  <c r="N4190" i="2" s="1"/>
  <c r="M4116" i="2"/>
  <c r="N4116" i="2" s="1"/>
  <c r="M4139" i="2"/>
  <c r="N4139" i="2" s="1"/>
  <c r="M4123" i="2"/>
  <c r="N4123" i="2" s="1"/>
  <c r="M4241" i="2"/>
  <c r="N4241" i="2" s="1"/>
  <c r="M4167" i="2"/>
  <c r="N4167" i="2" s="1"/>
  <c r="M4192" i="2"/>
  <c r="N4192" i="2" s="1"/>
  <c r="M3978" i="2"/>
  <c r="N3978" i="2" s="1"/>
  <c r="M3974" i="2"/>
  <c r="N3974" i="2" s="1"/>
  <c r="M4036" i="2"/>
  <c r="N4036" i="2" s="1"/>
  <c r="M3891" i="2"/>
  <c r="N3891" i="2" s="1"/>
  <c r="M3881" i="2"/>
  <c r="N3881" i="2" s="1"/>
  <c r="M3867" i="2"/>
  <c r="N3867" i="2" s="1"/>
  <c r="M3922" i="2"/>
  <c r="N3922" i="2" s="1"/>
  <c r="M3917" i="2"/>
  <c r="N3917" i="2" s="1"/>
  <c r="M3904" i="2"/>
  <c r="N3904" i="2" s="1"/>
  <c r="M3966" i="2"/>
  <c r="N3966" i="2" s="1"/>
  <c r="M4010" i="2"/>
  <c r="N4010" i="2" s="1"/>
  <c r="D339" i="9" s="1"/>
  <c r="M3934" i="2"/>
  <c r="N3934" i="2" s="1"/>
  <c r="M4021" i="2"/>
  <c r="N4021" i="2" s="1"/>
  <c r="M3885" i="2"/>
  <c r="N3885" i="2" s="1"/>
  <c r="M3925" i="2"/>
  <c r="N3925" i="2" s="1"/>
  <c r="M3910" i="2"/>
  <c r="N3910" i="2" s="1"/>
  <c r="M3909" i="2"/>
  <c r="N3909" i="2" s="1"/>
  <c r="M3903" i="2"/>
  <c r="N3903" i="2" s="1"/>
  <c r="M3995" i="2"/>
  <c r="N3995" i="2" s="1"/>
  <c r="M3957" i="2"/>
  <c r="N3957" i="2" s="1"/>
  <c r="M3984" i="2"/>
  <c r="N3984" i="2" s="1"/>
  <c r="M3862" i="2"/>
  <c r="N3862" i="2" s="1"/>
  <c r="M3973" i="2"/>
  <c r="N3973" i="2" s="1"/>
  <c r="M3959" i="2"/>
  <c r="N3959" i="2" s="1"/>
  <c r="M4016" i="2"/>
  <c r="N4016" i="2" s="1"/>
  <c r="M174" i="10"/>
  <c r="L16" i="10"/>
  <c r="J16" i="10"/>
  <c r="L177" i="10"/>
  <c r="J177" i="10"/>
  <c r="L15" i="10"/>
  <c r="J15" i="10"/>
  <c r="L140" i="10"/>
  <c r="J140" i="10"/>
  <c r="L108" i="10"/>
  <c r="J108" i="10"/>
  <c r="L29" i="10"/>
  <c r="J29" i="10"/>
  <c r="L162" i="10"/>
  <c r="J162" i="10"/>
  <c r="L105" i="10"/>
  <c r="J105" i="10"/>
  <c r="L143" i="10"/>
  <c r="J143" i="10"/>
  <c r="L71" i="10"/>
  <c r="J71" i="10"/>
  <c r="L39" i="10"/>
  <c r="J39" i="10"/>
  <c r="L200" i="10"/>
  <c r="J200" i="10"/>
  <c r="L144" i="10"/>
  <c r="J144" i="10"/>
  <c r="L80" i="10"/>
  <c r="J80" i="10"/>
  <c r="L69" i="10"/>
  <c r="J69" i="10"/>
  <c r="L37" i="10"/>
  <c r="J37" i="10"/>
  <c r="L88" i="10"/>
  <c r="J88" i="10"/>
  <c r="L21" i="10"/>
  <c r="J21" i="10"/>
  <c r="L107" i="10"/>
  <c r="J107" i="10"/>
  <c r="L134" i="10"/>
  <c r="J134" i="10"/>
  <c r="L75" i="10"/>
  <c r="J75" i="10"/>
  <c r="L154" i="10"/>
  <c r="J154" i="10"/>
  <c r="L148" i="10"/>
  <c r="J148" i="10"/>
  <c r="L31" i="10"/>
  <c r="J31" i="10"/>
  <c r="L146" i="10"/>
  <c r="J146" i="10"/>
  <c r="L7" i="10"/>
  <c r="J7" i="10"/>
  <c r="L190" i="10"/>
  <c r="J190" i="10"/>
  <c r="L35" i="10"/>
  <c r="J35" i="10"/>
  <c r="L147" i="10"/>
  <c r="J147" i="10"/>
  <c r="L131" i="10"/>
  <c r="J131" i="10"/>
  <c r="L132" i="10"/>
  <c r="J132" i="10"/>
  <c r="L164" i="10"/>
  <c r="J164" i="10"/>
  <c r="L36" i="10"/>
  <c r="J36" i="10"/>
  <c r="L185" i="10"/>
  <c r="J185" i="10"/>
  <c r="L55" i="10"/>
  <c r="J55" i="10"/>
  <c r="L106" i="10"/>
  <c r="J106" i="10"/>
  <c r="L156" i="10"/>
  <c r="J156" i="10"/>
  <c r="L193" i="10"/>
  <c r="J193" i="10"/>
  <c r="L19" i="10"/>
  <c r="J19" i="10"/>
  <c r="L38" i="10"/>
  <c r="J38" i="10"/>
  <c r="L103" i="10"/>
  <c r="J103" i="10"/>
  <c r="L120" i="10"/>
  <c r="J120" i="10"/>
  <c r="L155" i="10"/>
  <c r="J155" i="10"/>
  <c r="L57" i="10"/>
  <c r="J57" i="10"/>
  <c r="L173" i="10"/>
  <c r="J173" i="10"/>
  <c r="L45" i="10"/>
  <c r="J45" i="10"/>
  <c r="L32" i="10"/>
  <c r="J32" i="10"/>
  <c r="L195" i="10"/>
  <c r="J195" i="10"/>
  <c r="L59" i="10"/>
  <c r="J59" i="10"/>
  <c r="L20" i="10"/>
  <c r="J20" i="10"/>
  <c r="L104" i="10"/>
  <c r="J104" i="10"/>
  <c r="L142" i="10"/>
  <c r="J142" i="10"/>
  <c r="L70" i="10"/>
  <c r="J70" i="10"/>
  <c r="L28" i="10"/>
  <c r="J28" i="10"/>
  <c r="L135" i="10"/>
  <c r="J135" i="10"/>
  <c r="L180" i="10"/>
  <c r="J180" i="10"/>
  <c r="L189" i="10"/>
  <c r="J189" i="10"/>
  <c r="L179" i="10"/>
  <c r="J179" i="10"/>
  <c r="L113" i="10"/>
  <c r="J113" i="10"/>
  <c r="L187" i="10"/>
  <c r="J187" i="10"/>
  <c r="L34" i="10"/>
  <c r="J34" i="10"/>
  <c r="L153" i="10"/>
  <c r="J153" i="10"/>
  <c r="L30" i="10"/>
  <c r="J30" i="10"/>
  <c r="L26" i="10"/>
  <c r="J26" i="10"/>
  <c r="L119" i="10"/>
  <c r="J119" i="10"/>
  <c r="L60" i="10"/>
  <c r="J60" i="10"/>
  <c r="L110" i="10"/>
  <c r="J110" i="10"/>
  <c r="L130" i="10"/>
  <c r="J130" i="10"/>
  <c r="L151" i="10"/>
  <c r="J151" i="10"/>
  <c r="L163" i="10"/>
  <c r="J163" i="10"/>
  <c r="L165" i="10"/>
  <c r="J165" i="10"/>
  <c r="L3" i="10"/>
  <c r="J3" i="10"/>
  <c r="L78" i="10"/>
  <c r="J78" i="10"/>
  <c r="L54" i="10"/>
  <c r="J54" i="10"/>
  <c r="L43" i="10"/>
  <c r="J43" i="10"/>
  <c r="L186" i="10"/>
  <c r="J186" i="10"/>
  <c r="L58" i="10"/>
  <c r="J58" i="10"/>
  <c r="L41" i="10"/>
  <c r="J41" i="10"/>
  <c r="L77" i="10"/>
  <c r="J77" i="10"/>
  <c r="L133" i="10"/>
  <c r="J133" i="10"/>
  <c r="L111" i="10"/>
  <c r="J111" i="10"/>
  <c r="M614" i="1"/>
  <c r="M613" i="1"/>
  <c r="M615" i="1"/>
  <c r="N2830" i="2"/>
  <c r="M2830" i="2"/>
  <c r="M3371" i="2"/>
  <c r="M3372" i="2"/>
  <c r="M3373" i="2"/>
  <c r="M3374" i="2"/>
  <c r="M3376" i="2"/>
  <c r="M3377" i="2"/>
  <c r="M3378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N3399" i="2"/>
  <c r="M3400" i="2"/>
  <c r="M3402" i="2"/>
  <c r="M3403" i="2"/>
  <c r="M3404" i="2"/>
  <c r="M3405" i="2"/>
  <c r="M3406" i="2"/>
  <c r="M3407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N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9" i="2"/>
  <c r="M3450" i="2"/>
  <c r="M3451" i="2"/>
  <c r="M3453" i="2"/>
  <c r="M3454" i="2"/>
  <c r="M3455" i="2"/>
  <c r="M3456" i="2"/>
  <c r="M3457" i="2"/>
  <c r="M3458" i="2"/>
  <c r="M3459" i="2"/>
  <c r="M3460" i="2"/>
  <c r="M3461" i="2"/>
  <c r="M3462" i="2"/>
  <c r="N3462" i="2"/>
  <c r="M3463" i="2"/>
  <c r="M3464" i="2"/>
  <c r="M3465" i="2"/>
  <c r="M3466" i="2"/>
  <c r="M3467" i="2"/>
  <c r="M3469" i="2"/>
  <c r="M3470" i="2"/>
  <c r="M3471" i="2"/>
  <c r="M3472" i="2"/>
  <c r="M3473" i="2"/>
  <c r="M3474" i="2"/>
  <c r="M3475" i="2"/>
  <c r="M3476" i="2"/>
  <c r="N3476" i="2"/>
  <c r="M3477" i="2"/>
  <c r="M3478" i="2"/>
  <c r="M3481" i="2"/>
  <c r="M3482" i="2"/>
  <c r="M3483" i="2"/>
  <c r="M3484" i="2"/>
  <c r="M3485" i="2"/>
  <c r="M3486" i="2"/>
  <c r="M3488" i="2"/>
  <c r="M3489" i="2"/>
  <c r="M3490" i="2"/>
  <c r="M3491" i="2"/>
  <c r="M3492" i="2"/>
  <c r="M3493" i="2"/>
  <c r="M3494" i="2"/>
  <c r="M3496" i="2"/>
  <c r="M3497" i="2"/>
  <c r="M3498" i="2"/>
  <c r="M3499" i="2"/>
  <c r="M3500" i="2"/>
  <c r="M3501" i="2"/>
  <c r="M3502" i="2"/>
  <c r="M3504" i="2"/>
  <c r="M3505" i="2"/>
  <c r="M3506" i="2"/>
  <c r="M3507" i="2"/>
  <c r="M3508" i="2"/>
  <c r="M3509" i="2"/>
  <c r="M3510" i="2"/>
  <c r="M3511" i="2"/>
  <c r="M3512" i="2"/>
  <c r="M3514" i="2"/>
  <c r="M3515" i="2"/>
  <c r="M3516" i="2"/>
  <c r="M3517" i="2"/>
  <c r="M3518" i="2"/>
  <c r="M3520" i="2"/>
  <c r="M3521" i="2"/>
  <c r="M3522" i="2"/>
  <c r="M3523" i="2"/>
  <c r="M3524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8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10" i="2"/>
  <c r="M3611" i="2"/>
  <c r="M3612" i="2"/>
  <c r="M3613" i="2"/>
  <c r="M3614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9" i="2"/>
  <c r="M3630" i="2"/>
  <c r="M3631" i="2"/>
  <c r="N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4" i="2"/>
  <c r="M3695" i="2"/>
  <c r="M3698" i="2"/>
  <c r="M3699" i="2"/>
  <c r="M3700" i="2"/>
  <c r="M3701" i="2"/>
  <c r="M3702" i="2"/>
  <c r="M3703" i="2"/>
  <c r="M3704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9" i="2"/>
  <c r="M3730" i="2"/>
  <c r="M3731" i="2"/>
  <c r="M3732" i="2"/>
  <c r="M3733" i="2"/>
  <c r="M3734" i="2"/>
  <c r="M3735" i="2"/>
  <c r="M3736" i="2"/>
  <c r="M3739" i="2"/>
  <c r="M3740" i="2"/>
  <c r="M3741" i="2"/>
  <c r="M3742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6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1" i="2"/>
  <c r="M3822" i="2"/>
  <c r="M3823" i="2"/>
  <c r="M3824" i="2"/>
  <c r="M3825" i="2"/>
  <c r="M3826" i="2"/>
  <c r="M3827" i="2"/>
  <c r="M3829" i="2"/>
  <c r="M383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I3811" i="2"/>
  <c r="I3812" i="2"/>
  <c r="I3813" i="2"/>
  <c r="I3814" i="2"/>
  <c r="I3815" i="2"/>
  <c r="I3816" i="2"/>
  <c r="I3817" i="2"/>
  <c r="I3818" i="2"/>
  <c r="I3819" i="2"/>
  <c r="I3821" i="2"/>
  <c r="I3822" i="2"/>
  <c r="I3823" i="2"/>
  <c r="I3824" i="2"/>
  <c r="I3825" i="2"/>
  <c r="I3826" i="2"/>
  <c r="I3827" i="2"/>
  <c r="I3829" i="2"/>
  <c r="I3830" i="2"/>
  <c r="G3828" i="2"/>
  <c r="M3828" i="2" s="1"/>
  <c r="G3820" i="2"/>
  <c r="M3820" i="2" s="1"/>
  <c r="C3804" i="2"/>
  <c r="C3805" i="2"/>
  <c r="C3806" i="2"/>
  <c r="C3807" i="2"/>
  <c r="C3808" i="2"/>
  <c r="C3809" i="2"/>
  <c r="C3810" i="2"/>
  <c r="I3804" i="2"/>
  <c r="I3806" i="2"/>
  <c r="I3808" i="2"/>
  <c r="I3809" i="2"/>
  <c r="I3810" i="2"/>
  <c r="G3807" i="2"/>
  <c r="M3807" i="2" s="1"/>
  <c r="G3805" i="2"/>
  <c r="M3805" i="2" s="1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I3793" i="2"/>
  <c r="I3794" i="2"/>
  <c r="I3795" i="2"/>
  <c r="I3796" i="2"/>
  <c r="I3797" i="2"/>
  <c r="I3798" i="2"/>
  <c r="I3799" i="2"/>
  <c r="I3800" i="2"/>
  <c r="I3801" i="2"/>
  <c r="I3802" i="2"/>
  <c r="I3803" i="2"/>
  <c r="G3792" i="2"/>
  <c r="M3792" i="2" s="1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C3770" i="2"/>
  <c r="C3771" i="2"/>
  <c r="C3772" i="2"/>
  <c r="C3773" i="2"/>
  <c r="C3774" i="2"/>
  <c r="C3775" i="2"/>
  <c r="C3776" i="2"/>
  <c r="C3777" i="2"/>
  <c r="C3778" i="2"/>
  <c r="C3779" i="2"/>
  <c r="I3770" i="2"/>
  <c r="I3771" i="2"/>
  <c r="I3772" i="2"/>
  <c r="I3773" i="2"/>
  <c r="I3774" i="2"/>
  <c r="I3775" i="2"/>
  <c r="I3776" i="2"/>
  <c r="I3777" i="2"/>
  <c r="I3778" i="2"/>
  <c r="I3779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C3756" i="2"/>
  <c r="D341" i="9" l="1"/>
  <c r="M7" i="10"/>
  <c r="M186" i="10"/>
  <c r="N3829" i="2"/>
  <c r="N3824" i="2"/>
  <c r="M146" i="10"/>
  <c r="M88" i="10"/>
  <c r="M143" i="10"/>
  <c r="M108" i="10"/>
  <c r="M111" i="10"/>
  <c r="M60" i="10"/>
  <c r="M153" i="10"/>
  <c r="M28" i="10"/>
  <c r="M77" i="10"/>
  <c r="M58" i="10"/>
  <c r="M21" i="10"/>
  <c r="M3" i="10"/>
  <c r="M163" i="10"/>
  <c r="M70" i="10"/>
  <c r="M104" i="10"/>
  <c r="M173" i="10"/>
  <c r="M103" i="10"/>
  <c r="M19" i="10"/>
  <c r="M36" i="10"/>
  <c r="M147" i="10"/>
  <c r="M105" i="10"/>
  <c r="M29" i="10"/>
  <c r="M187" i="10"/>
  <c r="M180" i="10"/>
  <c r="M142" i="10"/>
  <c r="M195" i="10"/>
  <c r="M57" i="10"/>
  <c r="M38" i="10"/>
  <c r="M193" i="10"/>
  <c r="M35" i="10"/>
  <c r="M59" i="10"/>
  <c r="M155" i="10"/>
  <c r="M156" i="10"/>
  <c r="M80" i="10"/>
  <c r="M78" i="10"/>
  <c r="M148" i="10"/>
  <c r="M75" i="10"/>
  <c r="M177" i="10"/>
  <c r="M41" i="10"/>
  <c r="M20" i="10"/>
  <c r="M45" i="10"/>
  <c r="M185" i="10"/>
  <c r="M131" i="10"/>
  <c r="M69" i="10"/>
  <c r="M39" i="10"/>
  <c r="M151" i="10"/>
  <c r="M119" i="10"/>
  <c r="M54" i="10"/>
  <c r="M130" i="10"/>
  <c r="M26" i="10"/>
  <c r="M34" i="10"/>
  <c r="M113" i="10"/>
  <c r="M189" i="10"/>
  <c r="M32" i="10"/>
  <c r="M154" i="10"/>
  <c r="M134" i="10"/>
  <c r="M71" i="10"/>
  <c r="M30" i="10"/>
  <c r="M190" i="10"/>
  <c r="M37" i="10"/>
  <c r="M133" i="10"/>
  <c r="M179" i="10"/>
  <c r="M120" i="10"/>
  <c r="M55" i="10"/>
  <c r="M200" i="10"/>
  <c r="M15" i="10"/>
  <c r="M165" i="10"/>
  <c r="M135" i="10"/>
  <c r="M164" i="10"/>
  <c r="M31" i="10"/>
  <c r="M107" i="10"/>
  <c r="M162" i="10"/>
  <c r="M43" i="10"/>
  <c r="M110" i="10"/>
  <c r="M106" i="10"/>
  <c r="M132" i="10"/>
  <c r="M144" i="10"/>
  <c r="M140" i="10"/>
  <c r="M16" i="10"/>
  <c r="I3828" i="2"/>
  <c r="N3828" i="2" s="1"/>
  <c r="N3761" i="2"/>
  <c r="I3805" i="2"/>
  <c r="N3827" i="2"/>
  <c r="N3818" i="2"/>
  <c r="I3820" i="2"/>
  <c r="N3820" i="2" s="1"/>
  <c r="I3807" i="2"/>
  <c r="N3807" i="2" s="1"/>
  <c r="I3792" i="2"/>
  <c r="N3792" i="2" s="1"/>
  <c r="N3796" i="2"/>
  <c r="N3787" i="2"/>
  <c r="N3776" i="2"/>
  <c r="N3764" i="2"/>
  <c r="N3765" i="2"/>
  <c r="N3806" i="2"/>
  <c r="N3789" i="2"/>
  <c r="N3781" i="2"/>
  <c r="N3822" i="2"/>
  <c r="N3784" i="2"/>
  <c r="N3813" i="2"/>
  <c r="N3790" i="2"/>
  <c r="N3815" i="2"/>
  <c r="N3769" i="2"/>
  <c r="N3804" i="2"/>
  <c r="N3785" i="2"/>
  <c r="N3763" i="2"/>
  <c r="N3810" i="2"/>
  <c r="N3780" i="2"/>
  <c r="N3782" i="2"/>
  <c r="N3808" i="2"/>
  <c r="N3762" i="2"/>
  <c r="N3759" i="2"/>
  <c r="N3823" i="2"/>
  <c r="N3798" i="2"/>
  <c r="N3816" i="2"/>
  <c r="N3768" i="2"/>
  <c r="N3771" i="2"/>
  <c r="N3805" i="2"/>
  <c r="N3802" i="2"/>
  <c r="N3779" i="2"/>
  <c r="N3778" i="2"/>
  <c r="N3756" i="2"/>
  <c r="N3757" i="2"/>
  <c r="N3760" i="2"/>
  <c r="N3786" i="2"/>
  <c r="N3797" i="2"/>
  <c r="N3803" i="2"/>
  <c r="N3794" i="2"/>
  <c r="N3772" i="2"/>
  <c r="N3814" i="2"/>
  <c r="N3766" i="2"/>
  <c r="N3788" i="2"/>
  <c r="N3801" i="2"/>
  <c r="N3826" i="2"/>
  <c r="N3783" i="2"/>
  <c r="N3809" i="2"/>
  <c r="N3812" i="2"/>
  <c r="N3819" i="2"/>
  <c r="N3825" i="2"/>
  <c r="N3799" i="2"/>
  <c r="N3773" i="2"/>
  <c r="N3821" i="2"/>
  <c r="N3758" i="2"/>
  <c r="N3800" i="2"/>
  <c r="N3774" i="2"/>
  <c r="N3777" i="2"/>
  <c r="N3767" i="2"/>
  <c r="N3830" i="2"/>
  <c r="N3775" i="2"/>
  <c r="N3795" i="2"/>
  <c r="N3817" i="2"/>
  <c r="N3793" i="2"/>
  <c r="N3791" i="2"/>
  <c r="N3770" i="2"/>
  <c r="N3811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G3743" i="2"/>
  <c r="M3743" i="2" s="1"/>
  <c r="G3738" i="2"/>
  <c r="I3739" i="2"/>
  <c r="N3739" i="2" s="1"/>
  <c r="I3740" i="2"/>
  <c r="N3740" i="2" s="1"/>
  <c r="I3741" i="2"/>
  <c r="N3741" i="2" s="1"/>
  <c r="I3742" i="2"/>
  <c r="N3742" i="2" s="1"/>
  <c r="I3744" i="2"/>
  <c r="N3744" i="2" s="1"/>
  <c r="I3745" i="2"/>
  <c r="N3745" i="2" s="1"/>
  <c r="I3746" i="2"/>
  <c r="N3746" i="2" s="1"/>
  <c r="I3747" i="2"/>
  <c r="N3747" i="2" s="1"/>
  <c r="I3748" i="2"/>
  <c r="N3748" i="2" s="1"/>
  <c r="I3749" i="2"/>
  <c r="N3749" i="2" s="1"/>
  <c r="I3750" i="2"/>
  <c r="N3750" i="2" s="1"/>
  <c r="I3751" i="2"/>
  <c r="N3751" i="2" s="1"/>
  <c r="I3752" i="2"/>
  <c r="N3752" i="2" s="1"/>
  <c r="I3753" i="2"/>
  <c r="N3753" i="2" s="1"/>
  <c r="I3754" i="2"/>
  <c r="N3754" i="2" s="1"/>
  <c r="I3755" i="2"/>
  <c r="N3755" i="2" s="1"/>
  <c r="G3737" i="2"/>
  <c r="M3737" i="2" s="1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I3716" i="2"/>
  <c r="N3716" i="2" s="1"/>
  <c r="I3717" i="2"/>
  <c r="N3717" i="2" s="1"/>
  <c r="I3718" i="2"/>
  <c r="N3718" i="2" s="1"/>
  <c r="I3719" i="2"/>
  <c r="N3719" i="2" s="1"/>
  <c r="I3720" i="2"/>
  <c r="N3720" i="2" s="1"/>
  <c r="I3721" i="2"/>
  <c r="N3721" i="2" s="1"/>
  <c r="I3722" i="2"/>
  <c r="N3722" i="2" s="1"/>
  <c r="I3723" i="2"/>
  <c r="N3723" i="2" s="1"/>
  <c r="I3724" i="2"/>
  <c r="N3724" i="2" s="1"/>
  <c r="I3725" i="2"/>
  <c r="N3725" i="2" s="1"/>
  <c r="I3726" i="2"/>
  <c r="N3726" i="2" s="1"/>
  <c r="I3727" i="2"/>
  <c r="N3727" i="2" s="1"/>
  <c r="I3729" i="2"/>
  <c r="N3729" i="2" s="1"/>
  <c r="I3730" i="2"/>
  <c r="N3730" i="2" s="1"/>
  <c r="I3731" i="2"/>
  <c r="N3731" i="2" s="1"/>
  <c r="I3732" i="2"/>
  <c r="N3732" i="2" s="1"/>
  <c r="I3733" i="2"/>
  <c r="N3733" i="2" s="1"/>
  <c r="I3734" i="2"/>
  <c r="N3734" i="2" s="1"/>
  <c r="I3735" i="2"/>
  <c r="N3735" i="2" s="1"/>
  <c r="I3736" i="2"/>
  <c r="N3736" i="2" s="1"/>
  <c r="G3728" i="2"/>
  <c r="I3715" i="2"/>
  <c r="N3715" i="2" s="1"/>
  <c r="G3706" i="2"/>
  <c r="M3706" i="2" s="1"/>
  <c r="I3704" i="2"/>
  <c r="N3704" i="2" s="1"/>
  <c r="I3707" i="2"/>
  <c r="N3707" i="2" s="1"/>
  <c r="I3708" i="2"/>
  <c r="N3708" i="2" s="1"/>
  <c r="I3709" i="2"/>
  <c r="N3709" i="2" s="1"/>
  <c r="I3710" i="2"/>
  <c r="N3710" i="2" s="1"/>
  <c r="I3711" i="2"/>
  <c r="N3711" i="2" s="1"/>
  <c r="I3712" i="2"/>
  <c r="N3712" i="2" s="1"/>
  <c r="I3713" i="2"/>
  <c r="N3713" i="2" s="1"/>
  <c r="I3714" i="2"/>
  <c r="N3714" i="2" s="1"/>
  <c r="I3703" i="2"/>
  <c r="N3703" i="2" s="1"/>
  <c r="G3705" i="2"/>
  <c r="M3705" i="2" s="1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699" i="2"/>
  <c r="C3700" i="2"/>
  <c r="C3701" i="2"/>
  <c r="C3702" i="2"/>
  <c r="I3702" i="2"/>
  <c r="N3702" i="2" s="1"/>
  <c r="I3701" i="2"/>
  <c r="N3701" i="2" s="1"/>
  <c r="I3700" i="2"/>
  <c r="N3700" i="2" s="1"/>
  <c r="I3699" i="2"/>
  <c r="N3699" i="2" s="1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I3668" i="2"/>
  <c r="N3668" i="2" s="1"/>
  <c r="I3669" i="2"/>
  <c r="N3669" i="2" s="1"/>
  <c r="I3670" i="2"/>
  <c r="N3670" i="2" s="1"/>
  <c r="I3671" i="2"/>
  <c r="N3671" i="2" s="1"/>
  <c r="I3672" i="2"/>
  <c r="N3672" i="2" s="1"/>
  <c r="I3673" i="2"/>
  <c r="N3673" i="2" s="1"/>
  <c r="I3674" i="2"/>
  <c r="N3674" i="2" s="1"/>
  <c r="I3675" i="2"/>
  <c r="N3675" i="2" s="1"/>
  <c r="I3676" i="2"/>
  <c r="N3676" i="2" s="1"/>
  <c r="I3677" i="2"/>
  <c r="N3677" i="2" s="1"/>
  <c r="I3678" i="2"/>
  <c r="N3678" i="2" s="1"/>
  <c r="I3679" i="2"/>
  <c r="N3679" i="2" s="1"/>
  <c r="I3680" i="2"/>
  <c r="N3680" i="2" s="1"/>
  <c r="I3681" i="2"/>
  <c r="N3681" i="2" s="1"/>
  <c r="I3682" i="2"/>
  <c r="N3682" i="2" s="1"/>
  <c r="I3683" i="2"/>
  <c r="N3683" i="2" s="1"/>
  <c r="I3684" i="2"/>
  <c r="N3684" i="2" s="1"/>
  <c r="I3685" i="2"/>
  <c r="N3685" i="2" s="1"/>
  <c r="I3686" i="2"/>
  <c r="N3686" i="2" s="1"/>
  <c r="I3687" i="2"/>
  <c r="N3687" i="2" s="1"/>
  <c r="I3688" i="2"/>
  <c r="N3688" i="2" s="1"/>
  <c r="I3689" i="2"/>
  <c r="N3689" i="2" s="1"/>
  <c r="I3690" i="2"/>
  <c r="N3690" i="2" s="1"/>
  <c r="I3691" i="2"/>
  <c r="N3691" i="2" s="1"/>
  <c r="I3692" i="2"/>
  <c r="N3692" i="2" s="1"/>
  <c r="I3694" i="2"/>
  <c r="N3694" i="2" s="1"/>
  <c r="I3695" i="2"/>
  <c r="N3695" i="2" s="1"/>
  <c r="I3698" i="2"/>
  <c r="N3698" i="2" s="1"/>
  <c r="G3697" i="2"/>
  <c r="G3696" i="2"/>
  <c r="G3693" i="2"/>
  <c r="G3667" i="2"/>
  <c r="M3667" i="2" s="1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I3652" i="2"/>
  <c r="N3652" i="2" s="1"/>
  <c r="I3653" i="2"/>
  <c r="N3653" i="2" s="1"/>
  <c r="I3654" i="2"/>
  <c r="N3654" i="2" s="1"/>
  <c r="I3655" i="2"/>
  <c r="N3655" i="2" s="1"/>
  <c r="I3656" i="2"/>
  <c r="N3656" i="2" s="1"/>
  <c r="I3657" i="2"/>
  <c r="N3657" i="2" s="1"/>
  <c r="I3658" i="2"/>
  <c r="N3658" i="2" s="1"/>
  <c r="I3659" i="2"/>
  <c r="N3659" i="2" s="1"/>
  <c r="I3660" i="2"/>
  <c r="N3660" i="2" s="1"/>
  <c r="I3661" i="2"/>
  <c r="N3661" i="2" s="1"/>
  <c r="I3662" i="2"/>
  <c r="N3662" i="2" s="1"/>
  <c r="I3663" i="2"/>
  <c r="N3663" i="2" s="1"/>
  <c r="I3664" i="2"/>
  <c r="N3664" i="2" s="1"/>
  <c r="I3665" i="2"/>
  <c r="N3665" i="2" s="1"/>
  <c r="I3666" i="2"/>
  <c r="N3666" i="2" s="1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I3632" i="2"/>
  <c r="N3632" i="2" s="1"/>
  <c r="I3633" i="2"/>
  <c r="N3633" i="2" s="1"/>
  <c r="I3634" i="2"/>
  <c r="N3634" i="2" s="1"/>
  <c r="I3635" i="2"/>
  <c r="N3635" i="2" s="1"/>
  <c r="I3636" i="2"/>
  <c r="N3636" i="2" s="1"/>
  <c r="I3637" i="2"/>
  <c r="N3637" i="2" s="1"/>
  <c r="I3638" i="2"/>
  <c r="N3638" i="2" s="1"/>
  <c r="I3639" i="2"/>
  <c r="N3639" i="2" s="1"/>
  <c r="I3640" i="2"/>
  <c r="N3640" i="2" s="1"/>
  <c r="I3641" i="2"/>
  <c r="N3641" i="2" s="1"/>
  <c r="I3642" i="2"/>
  <c r="N3642" i="2" s="1"/>
  <c r="I3643" i="2"/>
  <c r="N3643" i="2" s="1"/>
  <c r="I3644" i="2"/>
  <c r="N3644" i="2" s="1"/>
  <c r="I3645" i="2"/>
  <c r="N3645" i="2" s="1"/>
  <c r="I3646" i="2"/>
  <c r="N3646" i="2" s="1"/>
  <c r="I3648" i="2"/>
  <c r="N3648" i="2" s="1"/>
  <c r="I3649" i="2"/>
  <c r="N3649" i="2" s="1"/>
  <c r="I3650" i="2"/>
  <c r="N3650" i="2" s="1"/>
  <c r="I3651" i="2"/>
  <c r="N3651" i="2" s="1"/>
  <c r="G3647" i="2"/>
  <c r="M3647" i="2" s="1"/>
  <c r="C3632" i="2"/>
  <c r="I3743" i="2" l="1"/>
  <c r="N3743" i="2" s="1"/>
  <c r="I3737" i="2"/>
  <c r="N3737" i="2" s="1"/>
  <c r="I3667" i="2"/>
  <c r="N3667" i="2" s="1"/>
  <c r="I3705" i="2"/>
  <c r="N3705" i="2" s="1"/>
  <c r="I3728" i="2"/>
  <c r="M3728" i="2"/>
  <c r="I3693" i="2"/>
  <c r="M3693" i="2"/>
  <c r="I3696" i="2"/>
  <c r="M3696" i="2"/>
  <c r="I3738" i="2"/>
  <c r="M3738" i="2"/>
  <c r="I3647" i="2"/>
  <c r="N3647" i="2" s="1"/>
  <c r="I3697" i="2"/>
  <c r="M3697" i="2"/>
  <c r="I3706" i="2"/>
  <c r="N3706" i="2" s="1"/>
  <c r="G3258" i="2"/>
  <c r="G3628" i="2"/>
  <c r="M3628" i="2" s="1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I3617" i="2"/>
  <c r="N3617" i="2" s="1"/>
  <c r="I3618" i="2"/>
  <c r="N3618" i="2" s="1"/>
  <c r="I3619" i="2"/>
  <c r="N3619" i="2" s="1"/>
  <c r="I3620" i="2"/>
  <c r="N3620" i="2" s="1"/>
  <c r="I3621" i="2"/>
  <c r="N3621" i="2" s="1"/>
  <c r="I3622" i="2"/>
  <c r="N3622" i="2" s="1"/>
  <c r="I3623" i="2"/>
  <c r="N3623" i="2" s="1"/>
  <c r="I3624" i="2"/>
  <c r="N3624" i="2" s="1"/>
  <c r="I3625" i="2"/>
  <c r="N3625" i="2" s="1"/>
  <c r="I3626" i="2"/>
  <c r="N3626" i="2" s="1"/>
  <c r="I3627" i="2"/>
  <c r="N3627" i="2" s="1"/>
  <c r="I3629" i="2"/>
  <c r="N3629" i="2" s="1"/>
  <c r="I3630" i="2"/>
  <c r="N3630" i="2" s="1"/>
  <c r="I3631" i="2"/>
  <c r="C3617" i="2"/>
  <c r="G3615" i="2"/>
  <c r="M3615" i="2" s="1"/>
  <c r="G3609" i="2"/>
  <c r="M3609" i="2" s="1"/>
  <c r="G3608" i="2"/>
  <c r="M3608" i="2" s="1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I3603" i="2"/>
  <c r="N3603" i="2" s="1"/>
  <c r="I3604" i="2"/>
  <c r="N3604" i="2" s="1"/>
  <c r="I3605" i="2"/>
  <c r="N3605" i="2" s="1"/>
  <c r="I3606" i="2"/>
  <c r="N3606" i="2" s="1"/>
  <c r="I3607" i="2"/>
  <c r="N3607" i="2" s="1"/>
  <c r="I3608" i="2"/>
  <c r="N3608" i="2" s="1"/>
  <c r="I3610" i="2"/>
  <c r="N3610" i="2" s="1"/>
  <c r="I3611" i="2"/>
  <c r="N3611" i="2" s="1"/>
  <c r="I3612" i="2"/>
  <c r="N3612" i="2" s="1"/>
  <c r="I3613" i="2"/>
  <c r="N3613" i="2" s="1"/>
  <c r="I3614" i="2"/>
  <c r="N3614" i="2" s="1"/>
  <c r="I3615" i="2"/>
  <c r="N3615" i="2" s="1"/>
  <c r="I3616" i="2"/>
  <c r="N3616" i="2" s="1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I3588" i="2"/>
  <c r="N3588" i="2" s="1"/>
  <c r="I3590" i="2"/>
  <c r="N3590" i="2" s="1"/>
  <c r="I3591" i="2"/>
  <c r="N3591" i="2" s="1"/>
  <c r="I3592" i="2"/>
  <c r="N3592" i="2" s="1"/>
  <c r="I3593" i="2"/>
  <c r="N3593" i="2" s="1"/>
  <c r="I3594" i="2"/>
  <c r="N3594" i="2" s="1"/>
  <c r="I3595" i="2"/>
  <c r="N3595" i="2" s="1"/>
  <c r="I3596" i="2"/>
  <c r="N3596" i="2" s="1"/>
  <c r="I3597" i="2"/>
  <c r="N3597" i="2" s="1"/>
  <c r="I3598" i="2"/>
  <c r="N3598" i="2" s="1"/>
  <c r="I3599" i="2"/>
  <c r="N3599" i="2" s="1"/>
  <c r="I3600" i="2"/>
  <c r="N3600" i="2" s="1"/>
  <c r="I3601" i="2"/>
  <c r="N3601" i="2" s="1"/>
  <c r="I3602" i="2"/>
  <c r="N3602" i="2" s="1"/>
  <c r="G3589" i="2"/>
  <c r="G3587" i="2"/>
  <c r="M3587" i="2" s="1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I3573" i="2"/>
  <c r="N3573" i="2" s="1"/>
  <c r="I3574" i="2"/>
  <c r="N3574" i="2" s="1"/>
  <c r="I3575" i="2"/>
  <c r="N3575" i="2" s="1"/>
  <c r="I3576" i="2"/>
  <c r="N3576" i="2" s="1"/>
  <c r="I3577" i="2"/>
  <c r="N3577" i="2" s="1"/>
  <c r="I3578" i="2"/>
  <c r="N3578" i="2" s="1"/>
  <c r="I3579" i="2"/>
  <c r="N3579" i="2" s="1"/>
  <c r="I3580" i="2"/>
  <c r="N3580" i="2" s="1"/>
  <c r="I3581" i="2"/>
  <c r="N3581" i="2" s="1"/>
  <c r="I3582" i="2"/>
  <c r="N3582" i="2" s="1"/>
  <c r="I3583" i="2"/>
  <c r="N3583" i="2" s="1"/>
  <c r="I3584" i="2"/>
  <c r="N3584" i="2" s="1"/>
  <c r="I3585" i="2"/>
  <c r="N3585" i="2" s="1"/>
  <c r="G3586" i="2"/>
  <c r="C3562" i="2"/>
  <c r="C3563" i="2"/>
  <c r="C3564" i="2"/>
  <c r="C3565" i="2"/>
  <c r="C3566" i="2"/>
  <c r="C3567" i="2"/>
  <c r="C3568" i="2"/>
  <c r="C3569" i="2"/>
  <c r="C3570" i="2"/>
  <c r="C3571" i="2"/>
  <c r="C3572" i="2"/>
  <c r="I3572" i="2"/>
  <c r="N3572" i="2" s="1"/>
  <c r="I3571" i="2"/>
  <c r="N3571" i="2" s="1"/>
  <c r="I3570" i="2"/>
  <c r="N3570" i="2" s="1"/>
  <c r="I3569" i="2"/>
  <c r="N3569" i="2" s="1"/>
  <c r="I3568" i="2"/>
  <c r="N3568" i="2" s="1"/>
  <c r="I3567" i="2"/>
  <c r="N3567" i="2" s="1"/>
  <c r="I3566" i="2"/>
  <c r="N3566" i="2" s="1"/>
  <c r="I3563" i="2"/>
  <c r="N3563" i="2" s="1"/>
  <c r="I3564" i="2"/>
  <c r="N3564" i="2" s="1"/>
  <c r="I3565" i="2"/>
  <c r="N3565" i="2" s="1"/>
  <c r="I3562" i="2"/>
  <c r="N3562" i="2" s="1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I3539" i="2"/>
  <c r="N3539" i="2" s="1"/>
  <c r="I3540" i="2"/>
  <c r="N3540" i="2" s="1"/>
  <c r="I3544" i="2"/>
  <c r="N3544" i="2" s="1"/>
  <c r="I3545" i="2"/>
  <c r="N3545" i="2" s="1"/>
  <c r="I3546" i="2"/>
  <c r="N3546" i="2" s="1"/>
  <c r="I3547" i="2"/>
  <c r="N3547" i="2" s="1"/>
  <c r="I3548" i="2"/>
  <c r="N3548" i="2" s="1"/>
  <c r="I3549" i="2"/>
  <c r="N3549" i="2" s="1"/>
  <c r="I3550" i="2"/>
  <c r="N3550" i="2" s="1"/>
  <c r="I3551" i="2"/>
  <c r="N3551" i="2" s="1"/>
  <c r="I3552" i="2"/>
  <c r="N3552" i="2" s="1"/>
  <c r="I3553" i="2"/>
  <c r="N3553" i="2" s="1"/>
  <c r="I3554" i="2"/>
  <c r="N3554" i="2" s="1"/>
  <c r="I3555" i="2"/>
  <c r="N3555" i="2" s="1"/>
  <c r="I3556" i="2"/>
  <c r="N3556" i="2" s="1"/>
  <c r="I3557" i="2"/>
  <c r="N3557" i="2" s="1"/>
  <c r="I3558" i="2"/>
  <c r="N3558" i="2" s="1"/>
  <c r="I3559" i="2"/>
  <c r="N3559" i="2" s="1"/>
  <c r="I3560" i="2"/>
  <c r="N3560" i="2" s="1"/>
  <c r="I3561" i="2"/>
  <c r="N3561" i="2" s="1"/>
  <c r="G3543" i="2"/>
  <c r="M3543" i="2" s="1"/>
  <c r="G3542" i="2"/>
  <c r="G3541" i="2"/>
  <c r="M3541" i="2" s="1"/>
  <c r="C3534" i="2"/>
  <c r="C3535" i="2"/>
  <c r="C3536" i="2"/>
  <c r="C3537" i="2"/>
  <c r="C3538" i="2"/>
  <c r="I3538" i="2"/>
  <c r="N3538" i="2" s="1"/>
  <c r="I3537" i="2"/>
  <c r="N3537" i="2" s="1"/>
  <c r="I3536" i="2"/>
  <c r="N3536" i="2" s="1"/>
  <c r="I3535" i="2"/>
  <c r="N3535" i="2" s="1"/>
  <c r="I3534" i="2"/>
  <c r="N3534" i="2" s="1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I3520" i="2"/>
  <c r="N3520" i="2" s="1"/>
  <c r="I3521" i="2"/>
  <c r="N3521" i="2" s="1"/>
  <c r="I3522" i="2"/>
  <c r="N3522" i="2" s="1"/>
  <c r="I3523" i="2"/>
  <c r="N3523" i="2" s="1"/>
  <c r="I3524" i="2"/>
  <c r="N3524" i="2" s="1"/>
  <c r="I3526" i="2"/>
  <c r="N3526" i="2" s="1"/>
  <c r="I3527" i="2"/>
  <c r="N3527" i="2" s="1"/>
  <c r="I3528" i="2"/>
  <c r="N3528" i="2" s="1"/>
  <c r="I3529" i="2"/>
  <c r="N3529" i="2" s="1"/>
  <c r="I3530" i="2"/>
  <c r="N3530" i="2" s="1"/>
  <c r="I3531" i="2"/>
  <c r="N3531" i="2" s="1"/>
  <c r="I3532" i="2"/>
  <c r="N3532" i="2" s="1"/>
  <c r="I3533" i="2"/>
  <c r="N3533" i="2" s="1"/>
  <c r="G3525" i="2"/>
  <c r="G3519" i="2"/>
  <c r="C3511" i="2"/>
  <c r="C3512" i="2"/>
  <c r="C3513" i="2"/>
  <c r="C3514" i="2"/>
  <c r="C3515" i="2"/>
  <c r="C3516" i="2"/>
  <c r="C3517" i="2"/>
  <c r="C3518" i="2"/>
  <c r="I3511" i="2"/>
  <c r="N3511" i="2" s="1"/>
  <c r="I3512" i="2"/>
  <c r="N3512" i="2" s="1"/>
  <c r="I3514" i="2"/>
  <c r="N3514" i="2" s="1"/>
  <c r="I3515" i="2"/>
  <c r="N3515" i="2" s="1"/>
  <c r="I3516" i="2"/>
  <c r="N3516" i="2" s="1"/>
  <c r="I3517" i="2"/>
  <c r="N3517" i="2" s="1"/>
  <c r="I3518" i="2"/>
  <c r="N3518" i="2" s="1"/>
  <c r="G3513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I3498" i="2"/>
  <c r="N3498" i="2" s="1"/>
  <c r="I3499" i="2"/>
  <c r="N3499" i="2" s="1"/>
  <c r="I3500" i="2"/>
  <c r="N3500" i="2" s="1"/>
  <c r="I3501" i="2"/>
  <c r="N3501" i="2" s="1"/>
  <c r="I3502" i="2"/>
  <c r="N3502" i="2" s="1"/>
  <c r="I3504" i="2"/>
  <c r="N3504" i="2" s="1"/>
  <c r="I3505" i="2"/>
  <c r="N3505" i="2" s="1"/>
  <c r="I3506" i="2"/>
  <c r="N3506" i="2" s="1"/>
  <c r="I3507" i="2"/>
  <c r="N3507" i="2" s="1"/>
  <c r="I3508" i="2"/>
  <c r="N3508" i="2" s="1"/>
  <c r="I3509" i="2"/>
  <c r="N3509" i="2" s="1"/>
  <c r="I3510" i="2"/>
  <c r="N3510" i="2" s="1"/>
  <c r="G3503" i="2"/>
  <c r="N3738" i="2" l="1"/>
  <c r="N3693" i="2"/>
  <c r="N3697" i="2"/>
  <c r="I3543" i="2"/>
  <c r="N3543" i="2" s="1"/>
  <c r="I3519" i="2"/>
  <c r="M3519" i="2"/>
  <c r="I3525" i="2"/>
  <c r="M3525" i="2"/>
  <c r="I3542" i="2"/>
  <c r="M3542" i="2"/>
  <c r="N3696" i="2"/>
  <c r="N3728" i="2"/>
  <c r="I3513" i="2"/>
  <c r="M3513" i="2"/>
  <c r="I3503" i="2"/>
  <c r="M3503" i="2"/>
  <c r="I3541" i="2"/>
  <c r="N3541" i="2" s="1"/>
  <c r="I3586" i="2"/>
  <c r="M3586" i="2"/>
  <c r="I3587" i="2"/>
  <c r="N3587" i="2" s="1"/>
  <c r="I3609" i="2"/>
  <c r="N3609" i="2" s="1"/>
  <c r="I3628" i="2"/>
  <c r="N3628" i="2" s="1"/>
  <c r="I3589" i="2"/>
  <c r="M3589" i="2"/>
  <c r="C3489" i="2"/>
  <c r="C3490" i="2"/>
  <c r="C3491" i="2"/>
  <c r="C3492" i="2"/>
  <c r="C3493" i="2"/>
  <c r="C3494" i="2"/>
  <c r="C3495" i="2"/>
  <c r="C3496" i="2"/>
  <c r="C3497" i="2"/>
  <c r="G3495" i="2"/>
  <c r="M3495" i="2" s="1"/>
  <c r="I3489" i="2"/>
  <c r="N3489" i="2" s="1"/>
  <c r="I3490" i="2"/>
  <c r="N3490" i="2" s="1"/>
  <c r="I3491" i="2"/>
  <c r="N3491" i="2" s="1"/>
  <c r="I3492" i="2"/>
  <c r="N3492" i="2" s="1"/>
  <c r="I3493" i="2"/>
  <c r="N3493" i="2" s="1"/>
  <c r="I3494" i="2"/>
  <c r="N3494" i="2" s="1"/>
  <c r="I3495" i="2"/>
  <c r="N3495" i="2" s="1"/>
  <c r="I3496" i="2"/>
  <c r="N3496" i="2" s="1"/>
  <c r="I3497" i="2"/>
  <c r="N3497" i="2" s="1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I3467" i="2"/>
  <c r="N3467" i="2" s="1"/>
  <c r="I3469" i="2"/>
  <c r="N3469" i="2" s="1"/>
  <c r="I3470" i="2"/>
  <c r="N3470" i="2" s="1"/>
  <c r="I3471" i="2"/>
  <c r="N3471" i="2" s="1"/>
  <c r="I3472" i="2"/>
  <c r="N3472" i="2" s="1"/>
  <c r="I3473" i="2"/>
  <c r="N3473" i="2" s="1"/>
  <c r="I3474" i="2"/>
  <c r="N3474" i="2" s="1"/>
  <c r="I3475" i="2"/>
  <c r="N3475" i="2" s="1"/>
  <c r="I3476" i="2"/>
  <c r="I3477" i="2"/>
  <c r="N3477" i="2" s="1"/>
  <c r="I3478" i="2"/>
  <c r="N3478" i="2" s="1"/>
  <c r="I3481" i="2"/>
  <c r="N3481" i="2" s="1"/>
  <c r="I3482" i="2"/>
  <c r="N3482" i="2" s="1"/>
  <c r="I3483" i="2"/>
  <c r="N3483" i="2" s="1"/>
  <c r="I3484" i="2"/>
  <c r="N3484" i="2" s="1"/>
  <c r="I3485" i="2"/>
  <c r="N3485" i="2" s="1"/>
  <c r="I3486" i="2"/>
  <c r="N3486" i="2" s="1"/>
  <c r="I3488" i="2"/>
  <c r="N3488" i="2" s="1"/>
  <c r="G3487" i="2"/>
  <c r="G3480" i="2"/>
  <c r="G3479" i="2"/>
  <c r="G3468" i="2"/>
  <c r="G3452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G3448" i="2"/>
  <c r="I3449" i="2"/>
  <c r="N3449" i="2" s="1"/>
  <c r="I3450" i="2"/>
  <c r="N3450" i="2" s="1"/>
  <c r="I3451" i="2"/>
  <c r="N3451" i="2" s="1"/>
  <c r="I3453" i="2"/>
  <c r="N3453" i="2" s="1"/>
  <c r="I3454" i="2"/>
  <c r="N3454" i="2" s="1"/>
  <c r="I3455" i="2"/>
  <c r="N3455" i="2" s="1"/>
  <c r="I3456" i="2"/>
  <c r="N3456" i="2" s="1"/>
  <c r="I3457" i="2"/>
  <c r="N3457" i="2" s="1"/>
  <c r="I3458" i="2"/>
  <c r="N3458" i="2" s="1"/>
  <c r="I3459" i="2"/>
  <c r="N3459" i="2" s="1"/>
  <c r="I3460" i="2"/>
  <c r="N3460" i="2" s="1"/>
  <c r="I3461" i="2"/>
  <c r="N3461" i="2" s="1"/>
  <c r="I3462" i="2"/>
  <c r="I3463" i="2"/>
  <c r="N3463" i="2" s="1"/>
  <c r="I3464" i="2"/>
  <c r="N3464" i="2" s="1"/>
  <c r="I3465" i="2"/>
  <c r="N3465" i="2" s="1"/>
  <c r="I3466" i="2"/>
  <c r="N3466" i="2" s="1"/>
  <c r="C3448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I3433" i="2"/>
  <c r="N3433" i="2" s="1"/>
  <c r="I3434" i="2"/>
  <c r="N3434" i="2" s="1"/>
  <c r="I3435" i="2"/>
  <c r="N3435" i="2" s="1"/>
  <c r="I3436" i="2"/>
  <c r="N3436" i="2" s="1"/>
  <c r="I3437" i="2"/>
  <c r="N3437" i="2" s="1"/>
  <c r="I3438" i="2"/>
  <c r="N3438" i="2" s="1"/>
  <c r="I3439" i="2"/>
  <c r="N3439" i="2" s="1"/>
  <c r="I3440" i="2"/>
  <c r="N3440" i="2" s="1"/>
  <c r="I3441" i="2"/>
  <c r="N3441" i="2" s="1"/>
  <c r="I3442" i="2"/>
  <c r="N3442" i="2" s="1"/>
  <c r="I3443" i="2"/>
  <c r="N3443" i="2" s="1"/>
  <c r="I3444" i="2"/>
  <c r="N3444" i="2" s="1"/>
  <c r="I3445" i="2"/>
  <c r="N3445" i="2" s="1"/>
  <c r="I3446" i="2"/>
  <c r="N3446" i="2" s="1"/>
  <c r="I3447" i="2"/>
  <c r="N3447" i="2" s="1"/>
  <c r="I3426" i="2"/>
  <c r="N3426" i="2" s="1"/>
  <c r="I3427" i="2"/>
  <c r="N3427" i="2" s="1"/>
  <c r="I3428" i="2"/>
  <c r="N3428" i="2" s="1"/>
  <c r="I3429" i="2"/>
  <c r="N3429" i="2" s="1"/>
  <c r="I3430" i="2"/>
  <c r="N3430" i="2" s="1"/>
  <c r="I3431" i="2"/>
  <c r="N3431" i="2" s="1"/>
  <c r="I3432" i="2"/>
  <c r="I3425" i="2"/>
  <c r="N3425" i="2" s="1"/>
  <c r="I3424" i="2"/>
  <c r="N3424" i="2" s="1"/>
  <c r="I3423" i="2"/>
  <c r="N3423" i="2" s="1"/>
  <c r="I3422" i="2"/>
  <c r="N3422" i="2" s="1"/>
  <c r="I3421" i="2"/>
  <c r="N3421" i="2" s="1"/>
  <c r="I3420" i="2"/>
  <c r="N3420" i="2" s="1"/>
  <c r="I3419" i="2"/>
  <c r="N3419" i="2" s="1"/>
  <c r="I3418" i="2"/>
  <c r="N3418" i="2" s="1"/>
  <c r="I3417" i="2"/>
  <c r="N3417" i="2" s="1"/>
  <c r="I3416" i="2"/>
  <c r="N3416" i="2" s="1"/>
  <c r="I3415" i="2"/>
  <c r="N3415" i="2" s="1"/>
  <c r="I3414" i="2"/>
  <c r="N3414" i="2" s="1"/>
  <c r="I3413" i="2"/>
  <c r="N3413" i="2" s="1"/>
  <c r="I3412" i="2"/>
  <c r="N3412" i="2" s="1"/>
  <c r="C3401" i="2"/>
  <c r="C3402" i="2"/>
  <c r="C3403" i="2"/>
  <c r="C3404" i="2"/>
  <c r="C3405" i="2"/>
  <c r="C3406" i="2"/>
  <c r="C3407" i="2"/>
  <c r="C3408" i="2"/>
  <c r="C3409" i="2"/>
  <c r="C3410" i="2"/>
  <c r="C3411" i="2"/>
  <c r="I3402" i="2"/>
  <c r="N3402" i="2" s="1"/>
  <c r="I3403" i="2"/>
  <c r="N3403" i="2" s="1"/>
  <c r="I3404" i="2"/>
  <c r="N3404" i="2" s="1"/>
  <c r="I3405" i="2"/>
  <c r="N3405" i="2" s="1"/>
  <c r="I3406" i="2"/>
  <c r="N3406" i="2" s="1"/>
  <c r="I3407" i="2"/>
  <c r="N3407" i="2" s="1"/>
  <c r="I3410" i="2"/>
  <c r="N3410" i="2" s="1"/>
  <c r="I3411" i="2"/>
  <c r="N3411" i="2" s="1"/>
  <c r="G3409" i="2"/>
  <c r="G3408" i="2"/>
  <c r="M3408" i="2" s="1"/>
  <c r="G3401" i="2"/>
  <c r="M3401" i="2" s="1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I3400" i="2"/>
  <c r="N3400" i="2" s="1"/>
  <c r="I3399" i="2"/>
  <c r="I3398" i="2"/>
  <c r="N3398" i="2" s="1"/>
  <c r="I3397" i="2"/>
  <c r="N3397" i="2" s="1"/>
  <c r="I3396" i="2"/>
  <c r="N3396" i="2" s="1"/>
  <c r="I3395" i="2"/>
  <c r="N3395" i="2" s="1"/>
  <c r="I3394" i="2"/>
  <c r="N3394" i="2" s="1"/>
  <c r="I3393" i="2"/>
  <c r="N3393" i="2" s="1"/>
  <c r="I3392" i="2"/>
  <c r="N3392" i="2" s="1"/>
  <c r="I3391" i="2"/>
  <c r="N3391" i="2" s="1"/>
  <c r="I3390" i="2"/>
  <c r="N3390" i="2" s="1"/>
  <c r="I3389" i="2"/>
  <c r="N3389" i="2" s="1"/>
  <c r="I3388" i="2"/>
  <c r="N3388" i="2" s="1"/>
  <c r="I3387" i="2"/>
  <c r="N3387" i="2" s="1"/>
  <c r="I3386" i="2"/>
  <c r="N3386" i="2" s="1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I3371" i="2"/>
  <c r="N3371" i="2" s="1"/>
  <c r="I3372" i="2"/>
  <c r="N3372" i="2" s="1"/>
  <c r="I3373" i="2"/>
  <c r="N3373" i="2" s="1"/>
  <c r="I3374" i="2"/>
  <c r="N3374" i="2" s="1"/>
  <c r="I3376" i="2"/>
  <c r="N3376" i="2" s="1"/>
  <c r="I3377" i="2"/>
  <c r="N3377" i="2" s="1"/>
  <c r="I3378" i="2"/>
  <c r="N3378" i="2" s="1"/>
  <c r="I3380" i="2"/>
  <c r="N3380" i="2" s="1"/>
  <c r="I3381" i="2"/>
  <c r="N3381" i="2" s="1"/>
  <c r="I3382" i="2"/>
  <c r="N3382" i="2" s="1"/>
  <c r="I3383" i="2"/>
  <c r="N3383" i="2" s="1"/>
  <c r="I3384" i="2"/>
  <c r="N3384" i="2" s="1"/>
  <c r="I3385" i="2"/>
  <c r="N3385" i="2" s="1"/>
  <c r="G3379" i="2"/>
  <c r="M3379" i="2" s="1"/>
  <c r="G3375" i="2"/>
  <c r="C3371" i="2"/>
  <c r="N3513" i="2" l="1"/>
  <c r="N3542" i="2"/>
  <c r="N3589" i="2"/>
  <c r="N3503" i="2"/>
  <c r="N3525" i="2"/>
  <c r="N3519" i="2"/>
  <c r="I3408" i="2"/>
  <c r="N3408" i="2" s="1"/>
  <c r="I3452" i="2"/>
  <c r="M3452" i="2"/>
  <c r="I3487" i="2"/>
  <c r="M3487" i="2"/>
  <c r="I3409" i="2"/>
  <c r="M3409" i="2"/>
  <c r="I3448" i="2"/>
  <c r="M3448" i="2"/>
  <c r="I3468" i="2"/>
  <c r="M3468" i="2"/>
  <c r="I3479" i="2"/>
  <c r="M3479" i="2"/>
  <c r="N3586" i="2"/>
  <c r="I3375" i="2"/>
  <c r="M3375" i="2"/>
  <c r="I3379" i="2"/>
  <c r="N3379" i="2" s="1"/>
  <c r="I3401" i="2"/>
  <c r="N3401" i="2" s="1"/>
  <c r="I3480" i="2"/>
  <c r="M3480" i="2"/>
  <c r="K3349" i="2"/>
  <c r="M3349" i="2" s="1"/>
  <c r="M3342" i="2"/>
  <c r="K3362" i="2"/>
  <c r="M3362" i="2" s="1"/>
  <c r="M3273" i="2"/>
  <c r="M3275" i="2"/>
  <c r="M3276" i="2"/>
  <c r="M3277" i="2"/>
  <c r="M3278" i="2"/>
  <c r="M3279" i="2"/>
  <c r="M3280" i="2"/>
  <c r="M3281" i="2"/>
  <c r="M3283" i="2"/>
  <c r="M3285" i="2"/>
  <c r="M3286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8" i="2"/>
  <c r="M3310" i="2"/>
  <c r="M3311" i="2"/>
  <c r="M3312" i="2"/>
  <c r="M3316" i="2"/>
  <c r="M3318" i="2"/>
  <c r="M3320" i="2"/>
  <c r="M3321" i="2"/>
  <c r="M3322" i="2"/>
  <c r="M3323" i="2"/>
  <c r="M3324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9" i="2"/>
  <c r="M3340" i="2"/>
  <c r="M3341" i="2"/>
  <c r="M3343" i="2"/>
  <c r="M3346" i="2"/>
  <c r="M3347" i="2"/>
  <c r="M3348" i="2"/>
  <c r="M3350" i="2"/>
  <c r="M3351" i="2"/>
  <c r="M3352" i="2"/>
  <c r="M3353" i="2"/>
  <c r="M3354" i="2"/>
  <c r="M3355" i="2"/>
  <c r="M3356" i="2"/>
  <c r="M3359" i="2"/>
  <c r="M3360" i="2"/>
  <c r="M3361" i="2"/>
  <c r="M3363" i="2"/>
  <c r="M3364" i="2"/>
  <c r="M3365" i="2"/>
  <c r="M3366" i="2"/>
  <c r="M3367" i="2"/>
  <c r="M3368" i="2"/>
  <c r="M3369" i="2"/>
  <c r="M3370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I3353" i="2"/>
  <c r="I3354" i="2"/>
  <c r="I3355" i="2"/>
  <c r="I3356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G3358" i="2"/>
  <c r="M3358" i="2" s="1"/>
  <c r="G3357" i="2"/>
  <c r="M3357" i="2" s="1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I3334" i="2"/>
  <c r="I3335" i="2"/>
  <c r="I3336" i="2"/>
  <c r="I3337" i="2"/>
  <c r="I3339" i="2"/>
  <c r="I3340" i="2"/>
  <c r="I3341" i="2"/>
  <c r="I3342" i="2"/>
  <c r="I3343" i="2"/>
  <c r="I3346" i="2"/>
  <c r="I3347" i="2"/>
  <c r="I3348" i="2"/>
  <c r="I3349" i="2"/>
  <c r="I3350" i="2"/>
  <c r="I3351" i="2"/>
  <c r="I3352" i="2"/>
  <c r="G3345" i="2"/>
  <c r="M3345" i="2" s="1"/>
  <c r="G3344" i="2"/>
  <c r="I3344" i="2" s="1"/>
  <c r="G3338" i="2"/>
  <c r="I3338" i="2" s="1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I3326" i="2"/>
  <c r="I3327" i="2"/>
  <c r="I3328" i="2"/>
  <c r="I3329" i="2"/>
  <c r="I3330" i="2"/>
  <c r="I3331" i="2"/>
  <c r="I3332" i="2"/>
  <c r="I3333" i="2"/>
  <c r="I3324" i="2"/>
  <c r="I3323" i="2"/>
  <c r="I3322" i="2"/>
  <c r="I3321" i="2"/>
  <c r="G3325" i="2"/>
  <c r="M3325" i="2" s="1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I3308" i="2"/>
  <c r="I3310" i="2"/>
  <c r="I3311" i="2"/>
  <c r="I3312" i="2"/>
  <c r="I3316" i="2"/>
  <c r="I3318" i="2"/>
  <c r="I3320" i="2"/>
  <c r="G3319" i="2"/>
  <c r="I3319" i="2" s="1"/>
  <c r="G3317" i="2"/>
  <c r="I3317" i="2" s="1"/>
  <c r="G3315" i="2"/>
  <c r="I3315" i="2" s="1"/>
  <c r="G3314" i="2"/>
  <c r="M3314" i="2" s="1"/>
  <c r="G3313" i="2"/>
  <c r="I3313" i="2" s="1"/>
  <c r="G3309" i="2"/>
  <c r="I3309" i="2" s="1"/>
  <c r="G3307" i="2"/>
  <c r="I3307" i="2" s="1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N3295" i="2" s="1"/>
  <c r="I3294" i="2"/>
  <c r="I3293" i="2"/>
  <c r="I3292" i="2"/>
  <c r="I3291" i="2"/>
  <c r="I3273" i="2"/>
  <c r="I3275" i="2"/>
  <c r="I3276" i="2"/>
  <c r="I3277" i="2"/>
  <c r="I3278" i="2"/>
  <c r="I3279" i="2"/>
  <c r="I3280" i="2"/>
  <c r="I3281" i="2"/>
  <c r="I3283" i="2"/>
  <c r="I3285" i="2"/>
  <c r="I3286" i="2"/>
  <c r="I3289" i="2"/>
  <c r="I3290" i="2"/>
  <c r="G3288" i="2"/>
  <c r="I3288" i="2" s="1"/>
  <c r="G3287" i="2"/>
  <c r="M3287" i="2" s="1"/>
  <c r="G3284" i="2"/>
  <c r="I3284" i="2" s="1"/>
  <c r="G3282" i="2"/>
  <c r="M3282" i="2" s="1"/>
  <c r="G3274" i="2"/>
  <c r="M3274" i="2" s="1"/>
  <c r="C3273" i="2"/>
  <c r="M3344" i="2" l="1"/>
  <c r="I3325" i="2"/>
  <c r="N3480" i="2"/>
  <c r="N3375" i="2"/>
  <c r="N3479" i="2"/>
  <c r="N3448" i="2"/>
  <c r="N3487" i="2"/>
  <c r="I3287" i="2"/>
  <c r="N3287" i="2" s="1"/>
  <c r="M3338" i="2"/>
  <c r="N3468" i="2"/>
  <c r="N3409" i="2"/>
  <c r="N3452" i="2"/>
  <c r="I3314" i="2"/>
  <c r="I3357" i="2"/>
  <c r="N3357" i="2" s="1"/>
  <c r="M3313" i="2"/>
  <c r="N3313" i="2" s="1"/>
  <c r="N3351" i="2"/>
  <c r="N3338" i="2"/>
  <c r="N3280" i="2"/>
  <c r="N3276" i="2"/>
  <c r="N3326" i="2"/>
  <c r="N3370" i="2"/>
  <c r="N3366" i="2"/>
  <c r="N3362" i="2"/>
  <c r="N3356" i="2"/>
  <c r="N3360" i="2"/>
  <c r="N3294" i="2"/>
  <c r="M3317" i="2"/>
  <c r="N3317" i="2" s="1"/>
  <c r="M3309" i="2"/>
  <c r="N3309" i="2" s="1"/>
  <c r="I3358" i="2"/>
  <c r="M3288" i="2"/>
  <c r="N3288" i="2" s="1"/>
  <c r="M3284" i="2"/>
  <c r="N3284" i="2" s="1"/>
  <c r="I3345" i="2"/>
  <c r="N3345" i="2" s="1"/>
  <c r="M3319" i="2"/>
  <c r="N3319" i="2" s="1"/>
  <c r="M3315" i="2"/>
  <c r="N3315" i="2" s="1"/>
  <c r="M3307" i="2"/>
  <c r="N3307" i="2" s="1"/>
  <c r="I3282" i="2"/>
  <c r="I3274" i="2"/>
  <c r="N3274" i="2" s="1"/>
  <c r="N3296" i="2"/>
  <c r="N3334" i="2"/>
  <c r="N3312" i="2"/>
  <c r="N3324" i="2"/>
  <c r="N3336" i="2"/>
  <c r="N3349" i="2"/>
  <c r="N3305" i="2"/>
  <c r="N3340" i="2"/>
  <c r="N3350" i="2"/>
  <c r="N3346" i="2"/>
  <c r="N3306" i="2"/>
  <c r="N3323" i="2"/>
  <c r="N3347" i="2"/>
  <c r="N3285" i="2"/>
  <c r="N3304" i="2"/>
  <c r="N3310" i="2"/>
  <c r="N3330" i="2"/>
  <c r="N3300" i="2"/>
  <c r="N3318" i="2"/>
  <c r="N3314" i="2"/>
  <c r="N3290" i="2"/>
  <c r="N3286" i="2"/>
  <c r="N3282" i="2"/>
  <c r="N3278" i="2"/>
  <c r="N3328" i="2"/>
  <c r="N3352" i="2"/>
  <c r="N3348" i="2"/>
  <c r="N3344" i="2"/>
  <c r="N3354" i="2"/>
  <c r="N3368" i="2"/>
  <c r="N3292" i="2"/>
  <c r="N3308" i="2"/>
  <c r="N3277" i="2"/>
  <c r="N3311" i="2"/>
  <c r="N3298" i="2"/>
  <c r="N3302" i="2"/>
  <c r="N3320" i="2"/>
  <c r="N3316" i="2"/>
  <c r="N3365" i="2"/>
  <c r="N3335" i="2"/>
  <c r="N3332" i="2"/>
  <c r="N3303" i="2"/>
  <c r="N3293" i="2"/>
  <c r="N3359" i="2"/>
  <c r="N3329" i="2"/>
  <c r="N3367" i="2"/>
  <c r="N3364" i="2"/>
  <c r="N3361" i="2"/>
  <c r="N3358" i="2"/>
  <c r="N3353" i="2"/>
  <c r="N3337" i="2"/>
  <c r="N3331" i="2"/>
  <c r="N3297" i="2"/>
  <c r="N3279" i="2"/>
  <c r="N3273" i="2"/>
  <c r="N3363" i="2"/>
  <c r="N3355" i="2"/>
  <c r="N3343" i="2"/>
  <c r="N3339" i="2"/>
  <c r="N3325" i="2"/>
  <c r="N3299" i="2"/>
  <c r="N3289" i="2"/>
  <c r="N3281" i="2"/>
  <c r="N3321" i="2"/>
  <c r="N3369" i="2"/>
  <c r="N3341" i="2"/>
  <c r="N3333" i="2"/>
  <c r="N3327" i="2"/>
  <c r="N3322" i="2"/>
  <c r="N3301" i="2"/>
  <c r="N3291" i="2"/>
  <c r="N3283" i="2"/>
  <c r="N3275" i="2"/>
  <c r="N3342" i="2"/>
  <c r="M2977" i="2"/>
  <c r="C2977" i="2"/>
  <c r="C2978" i="2"/>
  <c r="I2978" i="2"/>
  <c r="I2977" i="2"/>
  <c r="N2977" i="2" l="1"/>
  <c r="M3272" i="2"/>
  <c r="M3271" i="2"/>
  <c r="M3270" i="2"/>
  <c r="M3268" i="2"/>
  <c r="M3267" i="2"/>
  <c r="M3266" i="2"/>
  <c r="M3265" i="2"/>
  <c r="M3264" i="2"/>
  <c r="M3263" i="2"/>
  <c r="M3261" i="2"/>
  <c r="M3260" i="2"/>
  <c r="M3259" i="2"/>
  <c r="M3258" i="2"/>
  <c r="N3258" i="2" s="1"/>
  <c r="M3257" i="2"/>
  <c r="M3256" i="2"/>
  <c r="M3255" i="2"/>
  <c r="M3252" i="2"/>
  <c r="M3251" i="2"/>
  <c r="M3250" i="2"/>
  <c r="M3248" i="2"/>
  <c r="M3247" i="2"/>
  <c r="M3246" i="2"/>
  <c r="M3244" i="2"/>
  <c r="M3243" i="2"/>
  <c r="M3242" i="2"/>
  <c r="M3241" i="2"/>
  <c r="M3240" i="2"/>
  <c r="M3239" i="2"/>
  <c r="M3238" i="2"/>
  <c r="M3237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3" i="2"/>
  <c r="M3182" i="2"/>
  <c r="M3181" i="2"/>
  <c r="M3180" i="2"/>
  <c r="M3179" i="2"/>
  <c r="M3178" i="2"/>
  <c r="M3177" i="2"/>
  <c r="C3262" i="2"/>
  <c r="C3263" i="2"/>
  <c r="C3264" i="2"/>
  <c r="C3265" i="2"/>
  <c r="C3266" i="2"/>
  <c r="C3267" i="2"/>
  <c r="C3268" i="2"/>
  <c r="C3269" i="2"/>
  <c r="C3270" i="2"/>
  <c r="C3271" i="2"/>
  <c r="C3272" i="2"/>
  <c r="I3263" i="2"/>
  <c r="I3264" i="2"/>
  <c r="I3265" i="2"/>
  <c r="I3266" i="2"/>
  <c r="I3267" i="2"/>
  <c r="I3268" i="2"/>
  <c r="N3268" i="2" s="1"/>
  <c r="I3270" i="2"/>
  <c r="I3271" i="2"/>
  <c r="I3272" i="2"/>
  <c r="G3269" i="2"/>
  <c r="M3269" i="2" s="1"/>
  <c r="G3262" i="2"/>
  <c r="I3262" i="2" s="1"/>
  <c r="C3252" i="2"/>
  <c r="C3253" i="2"/>
  <c r="C3254" i="2"/>
  <c r="C3255" i="2"/>
  <c r="C3256" i="2"/>
  <c r="C3257" i="2"/>
  <c r="C3258" i="2"/>
  <c r="C3259" i="2"/>
  <c r="C3260" i="2"/>
  <c r="C3261" i="2"/>
  <c r="G3254" i="2"/>
  <c r="M3254" i="2" s="1"/>
  <c r="G3253" i="2"/>
  <c r="M3253" i="2" s="1"/>
  <c r="I3252" i="2"/>
  <c r="I3255" i="2"/>
  <c r="I3256" i="2"/>
  <c r="I3257" i="2"/>
  <c r="I3259" i="2"/>
  <c r="I3260" i="2"/>
  <c r="I3261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I3228" i="2"/>
  <c r="I3229" i="2"/>
  <c r="I3230" i="2"/>
  <c r="I3231" i="2"/>
  <c r="I3232" i="2"/>
  <c r="I3233" i="2"/>
  <c r="I3234" i="2"/>
  <c r="I3237" i="2"/>
  <c r="I3238" i="2"/>
  <c r="I3239" i="2"/>
  <c r="I3240" i="2"/>
  <c r="I3241" i="2"/>
  <c r="N3241" i="2" s="1"/>
  <c r="I3242" i="2"/>
  <c r="I3243" i="2"/>
  <c r="I3244" i="2"/>
  <c r="I3246" i="2"/>
  <c r="I3247" i="2"/>
  <c r="I3248" i="2"/>
  <c r="I3250" i="2"/>
  <c r="I3251" i="2"/>
  <c r="G3245" i="2"/>
  <c r="M3245" i="2" s="1"/>
  <c r="G3236" i="2"/>
  <c r="M3236" i="2" s="1"/>
  <c r="G3235" i="2"/>
  <c r="M3235" i="2" s="1"/>
  <c r="G3249" i="2"/>
  <c r="M3249" i="2" s="1"/>
  <c r="C3218" i="2"/>
  <c r="C3219" i="2"/>
  <c r="C3220" i="2"/>
  <c r="C3221" i="2"/>
  <c r="C3222" i="2"/>
  <c r="C3223" i="2"/>
  <c r="C3224" i="2"/>
  <c r="C3225" i="2"/>
  <c r="C3226" i="2"/>
  <c r="C3227" i="2"/>
  <c r="I3218" i="2"/>
  <c r="I3220" i="2"/>
  <c r="I3221" i="2"/>
  <c r="I3222" i="2"/>
  <c r="I3223" i="2"/>
  <c r="I3224" i="2"/>
  <c r="I3225" i="2"/>
  <c r="I3226" i="2"/>
  <c r="I3227" i="2"/>
  <c r="G3219" i="2"/>
  <c r="M3219" i="2" s="1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I3212" i="2"/>
  <c r="I3213" i="2"/>
  <c r="I3214" i="2"/>
  <c r="I3215" i="2"/>
  <c r="I3216" i="2"/>
  <c r="N3216" i="2" s="1"/>
  <c r="I3217" i="2"/>
  <c r="I3209" i="2"/>
  <c r="I3210" i="2"/>
  <c r="I3211" i="2"/>
  <c r="I3199" i="2"/>
  <c r="I3200" i="2"/>
  <c r="I3201" i="2"/>
  <c r="I3202" i="2"/>
  <c r="I3203" i="2"/>
  <c r="I3204" i="2"/>
  <c r="I3205" i="2"/>
  <c r="I3206" i="2"/>
  <c r="I3207" i="2"/>
  <c r="I3208" i="2"/>
  <c r="G3198" i="2"/>
  <c r="I3198" i="2" s="1"/>
  <c r="C3197" i="2"/>
  <c r="C3196" i="2"/>
  <c r="C3195" i="2"/>
  <c r="I3197" i="2"/>
  <c r="I3196" i="2"/>
  <c r="I3195" i="2"/>
  <c r="I3194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I3193" i="2"/>
  <c r="I3192" i="2"/>
  <c r="I3178" i="2"/>
  <c r="I3179" i="2"/>
  <c r="I3180" i="2"/>
  <c r="I3181" i="2"/>
  <c r="I3182" i="2"/>
  <c r="I3183" i="2"/>
  <c r="N3183" i="2" s="1"/>
  <c r="I3186" i="2"/>
  <c r="I3187" i="2"/>
  <c r="I3190" i="2"/>
  <c r="I3191" i="2"/>
  <c r="G3185" i="2"/>
  <c r="I3185" i="2" s="1"/>
  <c r="G3184" i="2"/>
  <c r="I3184" i="2" s="1"/>
  <c r="H3188" i="2"/>
  <c r="I3188" i="2" s="1"/>
  <c r="H3189" i="2"/>
  <c r="I3189" i="2" s="1"/>
  <c r="N3189" i="2" s="1"/>
  <c r="I3177" i="2"/>
  <c r="C3177" i="2"/>
  <c r="I3236" i="2" l="1"/>
  <c r="N3236" i="2" s="1"/>
  <c r="N3260" i="2"/>
  <c r="N3196" i="2"/>
  <c r="I3254" i="2"/>
  <c r="N3254" i="2" s="1"/>
  <c r="I3219" i="2"/>
  <c r="N3219" i="2" s="1"/>
  <c r="M3184" i="2"/>
  <c r="N3184" i="2" s="1"/>
  <c r="M3262" i="2"/>
  <c r="N3262" i="2" s="1"/>
  <c r="I3253" i="2"/>
  <c r="N3253" i="2" s="1"/>
  <c r="M3185" i="2"/>
  <c r="N3185" i="2" s="1"/>
  <c r="I3235" i="2"/>
  <c r="N3235" i="2" s="1"/>
  <c r="M3198" i="2"/>
  <c r="N3198" i="2" s="1"/>
  <c r="N3182" i="2"/>
  <c r="N3208" i="2"/>
  <c r="N3204" i="2"/>
  <c r="N3200" i="2"/>
  <c r="N3250" i="2"/>
  <c r="N3238" i="2"/>
  <c r="N3270" i="2"/>
  <c r="N3266" i="2"/>
  <c r="I3249" i="2"/>
  <c r="N3249" i="2" s="1"/>
  <c r="I3245" i="2"/>
  <c r="N3245" i="2" s="1"/>
  <c r="I3269" i="2"/>
  <c r="N3269" i="2" s="1"/>
  <c r="N3203" i="2"/>
  <c r="N3224" i="2"/>
  <c r="N3237" i="2"/>
  <c r="N3206" i="2"/>
  <c r="N3222" i="2"/>
  <c r="N3261" i="2"/>
  <c r="N3233" i="2"/>
  <c r="N3230" i="2"/>
  <c r="N3248" i="2"/>
  <c r="N3192" i="2"/>
  <c r="N3240" i="2"/>
  <c r="N3221" i="2"/>
  <c r="N3194" i="2"/>
  <c r="N3209" i="2"/>
  <c r="N3244" i="2"/>
  <c r="N3202" i="2"/>
  <c r="N3256" i="2"/>
  <c r="N3259" i="2"/>
  <c r="N3197" i="2"/>
  <c r="N3220" i="2"/>
  <c r="N3186" i="2"/>
  <c r="N3232" i="2"/>
  <c r="N3178" i="2"/>
  <c r="N3205" i="2"/>
  <c r="N3217" i="2"/>
  <c r="N3267" i="2"/>
  <c r="N3223" i="2"/>
  <c r="N3210" i="2"/>
  <c r="N3228" i="2"/>
  <c r="N3214" i="2"/>
  <c r="N3264" i="2"/>
  <c r="N3179" i="2"/>
  <c r="N3195" i="2"/>
  <c r="N3201" i="2"/>
  <c r="N3211" i="2"/>
  <c r="N3215" i="2"/>
  <c r="N3218" i="2"/>
  <c r="N3225" i="2"/>
  <c r="N3229" i="2"/>
  <c r="N3234" i="2"/>
  <c r="N3239" i="2"/>
  <c r="N3251" i="2"/>
  <c r="N3257" i="2"/>
  <c r="N3265" i="2"/>
  <c r="N3177" i="2"/>
  <c r="N3180" i="2"/>
  <c r="N3187" i="2"/>
  <c r="N3190" i="2"/>
  <c r="N3193" i="2"/>
  <c r="N3199" i="2"/>
  <c r="N3212" i="2"/>
  <c r="N3226" i="2"/>
  <c r="N3242" i="2"/>
  <c r="N3246" i="2"/>
  <c r="N3252" i="2"/>
  <c r="N3255" i="2"/>
  <c r="N3271" i="2"/>
  <c r="N3231" i="2"/>
  <c r="N3181" i="2"/>
  <c r="N3188" i="2"/>
  <c r="N3191" i="2"/>
  <c r="N3207" i="2"/>
  <c r="N3213" i="2"/>
  <c r="N3227" i="2"/>
  <c r="N3243" i="2"/>
  <c r="N3247" i="2"/>
  <c r="N3263" i="2"/>
  <c r="N3272" i="2"/>
  <c r="M3090" i="2"/>
  <c r="M3084" i="2"/>
  <c r="M3081" i="2"/>
  <c r="M3082" i="2"/>
  <c r="M3083" i="2"/>
  <c r="M3085" i="2"/>
  <c r="M3087" i="2"/>
  <c r="M3088" i="2"/>
  <c r="M3092" i="2"/>
  <c r="M3093" i="2"/>
  <c r="M3094" i="2"/>
  <c r="M3095" i="2"/>
  <c r="N3095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N3121" i="2"/>
  <c r="M3122" i="2"/>
  <c r="M3123" i="2"/>
  <c r="N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5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N3172" i="2"/>
  <c r="M3173" i="2"/>
  <c r="M3174" i="2"/>
  <c r="M3175" i="2"/>
  <c r="M3176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G3156" i="2"/>
  <c r="M3156" i="2" s="1"/>
  <c r="G3154" i="2"/>
  <c r="I3154" i="2" s="1"/>
  <c r="I3151" i="2"/>
  <c r="I3152" i="2"/>
  <c r="I3153" i="2"/>
  <c r="I3155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48" i="2"/>
  <c r="I3149" i="2"/>
  <c r="I3150" i="2"/>
  <c r="C3148" i="2"/>
  <c r="C3149" i="2"/>
  <c r="C3150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I3121" i="2"/>
  <c r="I3122" i="2"/>
  <c r="I3124" i="2"/>
  <c r="I3125" i="2"/>
  <c r="I3126" i="2"/>
  <c r="I3127" i="2"/>
  <c r="I3128" i="2"/>
  <c r="I3129" i="2"/>
  <c r="I3130" i="2"/>
  <c r="I3131" i="2"/>
  <c r="I3132" i="2"/>
  <c r="G3123" i="2"/>
  <c r="I3123" i="2" s="1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081" i="2"/>
  <c r="I3106" i="2"/>
  <c r="I3107" i="2"/>
  <c r="I3108" i="2"/>
  <c r="N3108" i="2" s="1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05" i="2"/>
  <c r="N3105" i="2" s="1"/>
  <c r="I3082" i="2"/>
  <c r="I3083" i="2"/>
  <c r="I3084" i="2"/>
  <c r="I3085" i="2"/>
  <c r="I3087" i="2"/>
  <c r="I3088" i="2"/>
  <c r="I3090" i="2"/>
  <c r="I3092" i="2"/>
  <c r="I3093" i="2"/>
  <c r="I3094" i="2"/>
  <c r="I3095" i="2"/>
  <c r="I3097" i="2"/>
  <c r="I3098" i="2"/>
  <c r="I3099" i="2"/>
  <c r="I3100" i="2"/>
  <c r="I3101" i="2"/>
  <c r="I3102" i="2"/>
  <c r="I3103" i="2"/>
  <c r="I3104" i="2"/>
  <c r="I3081" i="2"/>
  <c r="G3096" i="2"/>
  <c r="M3096" i="2" s="1"/>
  <c r="G3091" i="2"/>
  <c r="I3091" i="2" s="1"/>
  <c r="G3089" i="2"/>
  <c r="M3089" i="2" s="1"/>
  <c r="G3086" i="2"/>
  <c r="M3086" i="2" s="1"/>
  <c r="N3166" i="2" l="1"/>
  <c r="I3086" i="2"/>
  <c r="N3086" i="2" s="1"/>
  <c r="I3089" i="2"/>
  <c r="N3089" i="2" s="1"/>
  <c r="M3091" i="2"/>
  <c r="N3091" i="2" s="1"/>
  <c r="N3162" i="2"/>
  <c r="M3154" i="2"/>
  <c r="N3154" i="2" s="1"/>
  <c r="I3096" i="2"/>
  <c r="N3096" i="2" s="1"/>
  <c r="I3156" i="2"/>
  <c r="N3156" i="2" s="1"/>
  <c r="N3165" i="2"/>
  <c r="N3119" i="2"/>
  <c r="N3115" i="2"/>
  <c r="N3118" i="2"/>
  <c r="N3147" i="2"/>
  <c r="N3143" i="2"/>
  <c r="N3139" i="2"/>
  <c r="N3085" i="2"/>
  <c r="N3138" i="2"/>
  <c r="N3144" i="2"/>
  <c r="N3136" i="2"/>
  <c r="N3100" i="2"/>
  <c r="N3083" i="2"/>
  <c r="N3124" i="2"/>
  <c r="N3158" i="2"/>
  <c r="N3173" i="2"/>
  <c r="N3153" i="2"/>
  <c r="N3175" i="2"/>
  <c r="N3160" i="2"/>
  <c r="N3171" i="2"/>
  <c r="N3155" i="2"/>
  <c r="N3120" i="2"/>
  <c r="N3102" i="2"/>
  <c r="N3098" i="2"/>
  <c r="N3106" i="2"/>
  <c r="N3126" i="2"/>
  <c r="N3122" i="2"/>
  <c r="N3133" i="2"/>
  <c r="N3146" i="2"/>
  <c r="N3149" i="2"/>
  <c r="N3141" i="2"/>
  <c r="N3111" i="2"/>
  <c r="N3092" i="2"/>
  <c r="N3112" i="2"/>
  <c r="N3176" i="2"/>
  <c r="N3168" i="2"/>
  <c r="N3174" i="2"/>
  <c r="N3167" i="2"/>
  <c r="N3130" i="2"/>
  <c r="N3142" i="2"/>
  <c r="N3150" i="2"/>
  <c r="N3163" i="2"/>
  <c r="N3170" i="2"/>
  <c r="N3103" i="2"/>
  <c r="N3088" i="2"/>
  <c r="N3081" i="2"/>
  <c r="N3161" i="2"/>
  <c r="N3137" i="2"/>
  <c r="N3134" i="2"/>
  <c r="N3131" i="2"/>
  <c r="N3127" i="2"/>
  <c r="N3109" i="2"/>
  <c r="N3104" i="2"/>
  <c r="N3101" i="2"/>
  <c r="N3082" i="2"/>
  <c r="N3097" i="2"/>
  <c r="N3094" i="2"/>
  <c r="N3087" i="2"/>
  <c r="N3157" i="2"/>
  <c r="N3152" i="2"/>
  <c r="N3129" i="2"/>
  <c r="N3117" i="2"/>
  <c r="N3114" i="2"/>
  <c r="N3169" i="2"/>
  <c r="N3164" i="2"/>
  <c r="N3159" i="2"/>
  <c r="N3151" i="2"/>
  <c r="N3148" i="2"/>
  <c r="N3145" i="2"/>
  <c r="N3140" i="2"/>
  <c r="N3135" i="2"/>
  <c r="N3132" i="2"/>
  <c r="N3128" i="2"/>
  <c r="N3125" i="2"/>
  <c r="N3116" i="2"/>
  <c r="N3113" i="2"/>
  <c r="N3110" i="2"/>
  <c r="N3107" i="2"/>
  <c r="N3099" i="2"/>
  <c r="N3093" i="2"/>
  <c r="N3090" i="2"/>
  <c r="N3084" i="2"/>
  <c r="E12" i="8"/>
  <c r="F12" i="8"/>
  <c r="E13" i="8"/>
  <c r="F13" i="8"/>
  <c r="E14" i="8"/>
  <c r="F14" i="8"/>
  <c r="D4" i="8"/>
  <c r="D5" i="8"/>
  <c r="D6" i="8"/>
  <c r="D7" i="8"/>
  <c r="D8" i="8"/>
  <c r="D9" i="8"/>
  <c r="D10" i="8"/>
  <c r="D11" i="8"/>
  <c r="D12" i="8"/>
  <c r="D13" i="8"/>
  <c r="D14" i="8"/>
  <c r="D3" i="8"/>
  <c r="M2882" i="2"/>
  <c r="N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900" i="2"/>
  <c r="M2903" i="2"/>
  <c r="M2904" i="2"/>
  <c r="M2905" i="2"/>
  <c r="M2906" i="2"/>
  <c r="M2907" i="2"/>
  <c r="M2908" i="2"/>
  <c r="M2910" i="2"/>
  <c r="M2911" i="2"/>
  <c r="M2912" i="2"/>
  <c r="M2913" i="2"/>
  <c r="M2914" i="2"/>
  <c r="M2915" i="2"/>
  <c r="M2916" i="2"/>
  <c r="M2918" i="2"/>
  <c r="M2919" i="2"/>
  <c r="M2920" i="2"/>
  <c r="M2921" i="2"/>
  <c r="M2922" i="2"/>
  <c r="M2923" i="2"/>
  <c r="M2924" i="2"/>
  <c r="M2925" i="2"/>
  <c r="M2926" i="2"/>
  <c r="M2927" i="2"/>
  <c r="M2929" i="2"/>
  <c r="M2930" i="2"/>
  <c r="M2931" i="2"/>
  <c r="M2932" i="2"/>
  <c r="M2933" i="2"/>
  <c r="M2934" i="2"/>
  <c r="M2935" i="2"/>
  <c r="M2936" i="2"/>
  <c r="M2939" i="2"/>
  <c r="M2940" i="2"/>
  <c r="M2941" i="2"/>
  <c r="M2942" i="2"/>
  <c r="M2943" i="2"/>
  <c r="M2944" i="2"/>
  <c r="M2945" i="2"/>
  <c r="M2946" i="2"/>
  <c r="M2947" i="2"/>
  <c r="M2949" i="2"/>
  <c r="M2950" i="2"/>
  <c r="M2951" i="2"/>
  <c r="M2952" i="2"/>
  <c r="M2953" i="2"/>
  <c r="M2954" i="2"/>
  <c r="M2955" i="2"/>
  <c r="M2956" i="2"/>
  <c r="M2957" i="2"/>
  <c r="M2958" i="2"/>
  <c r="M2960" i="2"/>
  <c r="N2960" i="2"/>
  <c r="M2961" i="2"/>
  <c r="M2962" i="2"/>
  <c r="M2963" i="2"/>
  <c r="M2964" i="2"/>
  <c r="M2965" i="2"/>
  <c r="M2966" i="2"/>
  <c r="M2967" i="2"/>
  <c r="M2969" i="2"/>
  <c r="M2970" i="2"/>
  <c r="M2971" i="2"/>
  <c r="M2972" i="2"/>
  <c r="M2973" i="2"/>
  <c r="M2974" i="2"/>
  <c r="M2975" i="2"/>
  <c r="M2976" i="2"/>
  <c r="M2979" i="2"/>
  <c r="M2980" i="2"/>
  <c r="M2981" i="2"/>
  <c r="M2982" i="2"/>
  <c r="M2983" i="2"/>
  <c r="M2986" i="2"/>
  <c r="M2987" i="2"/>
  <c r="M2988" i="2"/>
  <c r="M2989" i="2"/>
  <c r="M2990" i="2"/>
  <c r="N2990" i="2"/>
  <c r="M2991" i="2"/>
  <c r="M2992" i="2"/>
  <c r="M2993" i="2"/>
  <c r="M2994" i="2"/>
  <c r="M2996" i="2"/>
  <c r="M2997" i="2"/>
  <c r="M2998" i="2"/>
  <c r="M2999" i="2"/>
  <c r="M3000" i="2"/>
  <c r="M3001" i="2"/>
  <c r="M3002" i="2"/>
  <c r="M3003" i="2"/>
  <c r="M3004" i="2"/>
  <c r="M3005" i="2"/>
  <c r="M3007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6" i="2"/>
  <c r="M3038" i="2"/>
  <c r="M3039" i="2"/>
  <c r="M3040" i="2"/>
  <c r="M3041" i="2"/>
  <c r="M3042" i="2"/>
  <c r="M3043" i="2"/>
  <c r="M3045" i="2"/>
  <c r="M3046" i="2"/>
  <c r="M3047" i="2"/>
  <c r="M3048" i="2"/>
  <c r="M3050" i="2"/>
  <c r="M3053" i="2"/>
  <c r="M3054" i="2"/>
  <c r="M3055" i="2"/>
  <c r="M3056" i="2"/>
  <c r="M3057" i="2"/>
  <c r="M3060" i="2"/>
  <c r="M3061" i="2"/>
  <c r="M3062" i="2"/>
  <c r="M3064" i="2"/>
  <c r="N3064" i="2"/>
  <c r="M3065" i="2"/>
  <c r="M3066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I3064" i="2"/>
  <c r="I3065" i="2"/>
  <c r="I3066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G3067" i="2"/>
  <c r="M3067" i="2" s="1"/>
  <c r="C3064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I3060" i="2"/>
  <c r="I3061" i="2"/>
  <c r="I3062" i="2"/>
  <c r="G3063" i="2"/>
  <c r="M3063" i="2" s="1"/>
  <c r="G3059" i="2"/>
  <c r="M3059" i="2" s="1"/>
  <c r="G3058" i="2"/>
  <c r="M3058" i="2" s="1"/>
  <c r="I3053" i="2"/>
  <c r="I3054" i="2"/>
  <c r="I3055" i="2"/>
  <c r="I3056" i="2"/>
  <c r="I3057" i="2"/>
  <c r="G3052" i="2"/>
  <c r="M3052" i="2" s="1"/>
  <c r="G3051" i="2"/>
  <c r="M3051" i="2" s="1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I3029" i="2"/>
  <c r="I3030" i="2"/>
  <c r="I3031" i="2"/>
  <c r="I3032" i="2"/>
  <c r="I3033" i="2"/>
  <c r="I3034" i="2"/>
  <c r="I3036" i="2"/>
  <c r="I3038" i="2"/>
  <c r="I3039" i="2"/>
  <c r="I3040" i="2"/>
  <c r="I3041" i="2"/>
  <c r="I3042" i="2"/>
  <c r="I3043" i="2"/>
  <c r="I3045" i="2"/>
  <c r="I3046" i="2"/>
  <c r="I3047" i="2"/>
  <c r="I3048" i="2"/>
  <c r="I3050" i="2"/>
  <c r="G3049" i="2"/>
  <c r="I3049" i="2" s="1"/>
  <c r="G3044" i="2"/>
  <c r="M3044" i="2" s="1"/>
  <c r="G3037" i="2"/>
  <c r="I3037" i="2" s="1"/>
  <c r="G3035" i="2"/>
  <c r="M3035" i="2" s="1"/>
  <c r="C3019" i="2"/>
  <c r="C3020" i="2"/>
  <c r="C3021" i="2"/>
  <c r="C3022" i="2"/>
  <c r="C3023" i="2"/>
  <c r="C3024" i="2"/>
  <c r="C3025" i="2"/>
  <c r="C3026" i="2"/>
  <c r="C3027" i="2"/>
  <c r="C3028" i="2"/>
  <c r="I3019" i="2"/>
  <c r="I3020" i="2"/>
  <c r="I3021" i="2"/>
  <c r="I3022" i="2"/>
  <c r="I3023" i="2"/>
  <c r="I3024" i="2"/>
  <c r="I3025" i="2"/>
  <c r="I3026" i="2"/>
  <c r="I3027" i="2"/>
  <c r="I3028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I3007" i="2"/>
  <c r="I3009" i="2"/>
  <c r="I3010" i="2"/>
  <c r="I3011" i="2"/>
  <c r="I3012" i="2"/>
  <c r="I3013" i="2"/>
  <c r="I3014" i="2"/>
  <c r="I3015" i="2"/>
  <c r="I3016" i="2"/>
  <c r="I3017" i="2"/>
  <c r="I3018" i="2"/>
  <c r="G3008" i="2"/>
  <c r="M3008" i="2" s="1"/>
  <c r="I3004" i="2"/>
  <c r="I3005" i="2"/>
  <c r="G3006" i="2"/>
  <c r="M3006" i="2" s="1"/>
  <c r="G2995" i="2"/>
  <c r="M2995" i="2" s="1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I2987" i="2"/>
  <c r="I2988" i="2"/>
  <c r="I2989" i="2"/>
  <c r="I2990" i="2"/>
  <c r="I2991" i="2"/>
  <c r="I2992" i="2"/>
  <c r="I2993" i="2"/>
  <c r="I2994" i="2"/>
  <c r="I2996" i="2"/>
  <c r="I2997" i="2"/>
  <c r="I2998" i="2"/>
  <c r="I2999" i="2"/>
  <c r="I3000" i="2"/>
  <c r="I3001" i="2"/>
  <c r="I3002" i="2"/>
  <c r="I3003" i="2"/>
  <c r="C2980" i="2"/>
  <c r="C2981" i="2"/>
  <c r="C2982" i="2"/>
  <c r="C2983" i="2"/>
  <c r="C2984" i="2"/>
  <c r="C2985" i="2"/>
  <c r="C2986" i="2"/>
  <c r="I2981" i="2"/>
  <c r="I2982" i="2"/>
  <c r="I2983" i="2"/>
  <c r="I2986" i="2"/>
  <c r="I2980" i="2"/>
  <c r="I2979" i="2"/>
  <c r="G2985" i="2"/>
  <c r="I2985" i="2" s="1"/>
  <c r="G2984" i="2"/>
  <c r="M2984" i="2" s="1"/>
  <c r="C2979" i="2"/>
  <c r="N2992" i="2" l="1"/>
  <c r="I2995" i="2"/>
  <c r="N2995" i="2" s="1"/>
  <c r="I3008" i="2"/>
  <c r="N3008" i="2" s="1"/>
  <c r="M3037" i="2"/>
  <c r="N3037" i="2" s="1"/>
  <c r="I2984" i="2"/>
  <c r="N2984" i="2" s="1"/>
  <c r="I3058" i="2"/>
  <c r="M3049" i="2"/>
  <c r="N3049" i="2" s="1"/>
  <c r="I3035" i="2"/>
  <c r="I3052" i="2"/>
  <c r="I3067" i="2"/>
  <c r="N3067" i="2" s="1"/>
  <c r="M2985" i="2"/>
  <c r="N2985" i="2" s="1"/>
  <c r="N3040" i="2"/>
  <c r="N3055" i="2"/>
  <c r="I3044" i="2"/>
  <c r="I3059" i="2"/>
  <c r="N3059" i="2" s="1"/>
  <c r="I3051" i="2"/>
  <c r="N3051" i="2" s="1"/>
  <c r="I3063" i="2"/>
  <c r="N3063" i="2" s="1"/>
  <c r="I3006" i="2"/>
  <c r="N3006" i="2" s="1"/>
  <c r="N3039" i="2"/>
  <c r="N3035" i="2"/>
  <c r="N3031" i="2"/>
  <c r="N3015" i="2"/>
  <c r="N3011" i="2"/>
  <c r="N3007" i="2"/>
  <c r="N3052" i="2"/>
  <c r="N3034" i="2"/>
  <c r="N3028" i="2"/>
  <c r="N2979" i="2"/>
  <c r="N2993" i="2"/>
  <c r="N3005" i="2"/>
  <c r="N3017" i="2"/>
  <c r="N3013" i="2"/>
  <c r="N3009" i="2"/>
  <c r="N3036" i="2"/>
  <c r="N3032" i="2"/>
  <c r="N3061" i="2"/>
  <c r="N3080" i="2"/>
  <c r="N3076" i="2"/>
  <c r="N3072" i="2"/>
  <c r="N3024" i="2"/>
  <c r="N3045" i="2"/>
  <c r="N3041" i="2"/>
  <c r="N3060" i="2"/>
  <c r="N2981" i="2"/>
  <c r="N3003" i="2"/>
  <c r="N2999" i="2"/>
  <c r="N3027" i="2"/>
  <c r="N3023" i="2"/>
  <c r="N3019" i="2"/>
  <c r="N2989" i="2"/>
  <c r="N3044" i="2"/>
  <c r="N3078" i="2"/>
  <c r="N3065" i="2"/>
  <c r="N3062" i="2"/>
  <c r="N3033" i="2"/>
  <c r="N3029" i="2"/>
  <c r="N3054" i="2"/>
  <c r="N3079" i="2"/>
  <c r="N3075" i="2"/>
  <c r="N3071" i="2"/>
  <c r="N3026" i="2"/>
  <c r="N3021" i="2"/>
  <c r="N3047" i="2"/>
  <c r="N3043" i="2"/>
  <c r="N3070" i="2"/>
  <c r="N3053" i="2"/>
  <c r="N2983" i="2"/>
  <c r="N3001" i="2"/>
  <c r="N2997" i="2"/>
  <c r="N2987" i="2"/>
  <c r="N3050" i="2"/>
  <c r="N3077" i="2"/>
  <c r="N3073" i="2"/>
  <c r="N3022" i="2"/>
  <c r="N3048" i="2"/>
  <c r="N3057" i="2"/>
  <c r="N3002" i="2"/>
  <c r="N2998" i="2"/>
  <c r="N3025" i="2"/>
  <c r="N2980" i="2"/>
  <c r="N2988" i="2"/>
  <c r="N2991" i="2"/>
  <c r="N3042" i="2"/>
  <c r="N3069" i="2"/>
  <c r="N3004" i="2"/>
  <c r="N3016" i="2"/>
  <c r="N3012" i="2"/>
  <c r="N3074" i="2"/>
  <c r="N3066" i="2"/>
  <c r="N3056" i="2"/>
  <c r="N2986" i="2"/>
  <c r="N2982" i="2"/>
  <c r="N3000" i="2"/>
  <c r="N2996" i="2"/>
  <c r="N3020" i="2"/>
  <c r="N3046" i="2"/>
  <c r="N3038" i="2"/>
  <c r="N3030" i="2"/>
  <c r="N3058" i="2"/>
  <c r="N2994" i="2"/>
  <c r="N3018" i="2"/>
  <c r="N3014" i="2"/>
  <c r="N3010" i="2"/>
  <c r="N3068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I2963" i="2"/>
  <c r="N2963" i="2" s="1"/>
  <c r="I2964" i="2"/>
  <c r="N2964" i="2" s="1"/>
  <c r="I2965" i="2"/>
  <c r="N2965" i="2" s="1"/>
  <c r="I2966" i="2"/>
  <c r="N2966" i="2" s="1"/>
  <c r="I2967" i="2"/>
  <c r="N2967" i="2" s="1"/>
  <c r="I2969" i="2"/>
  <c r="N2969" i="2" s="1"/>
  <c r="I2970" i="2"/>
  <c r="N2970" i="2" s="1"/>
  <c r="I2971" i="2"/>
  <c r="N2971" i="2" s="1"/>
  <c r="I2972" i="2"/>
  <c r="N2972" i="2" s="1"/>
  <c r="I2973" i="2"/>
  <c r="N2973" i="2" s="1"/>
  <c r="I2974" i="2"/>
  <c r="N2974" i="2" s="1"/>
  <c r="I2975" i="2"/>
  <c r="N2975" i="2" s="1"/>
  <c r="I2976" i="2"/>
  <c r="N2976" i="2" s="1"/>
  <c r="G2968" i="2"/>
  <c r="M2968" i="2" s="1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I2949" i="2"/>
  <c r="N2949" i="2" s="1"/>
  <c r="I2950" i="2"/>
  <c r="N2950" i="2" s="1"/>
  <c r="I2951" i="2"/>
  <c r="N2951" i="2" s="1"/>
  <c r="I2952" i="2"/>
  <c r="N2952" i="2" s="1"/>
  <c r="I2953" i="2"/>
  <c r="N2953" i="2" s="1"/>
  <c r="I2954" i="2"/>
  <c r="N2954" i="2" s="1"/>
  <c r="I2955" i="2"/>
  <c r="N2955" i="2" s="1"/>
  <c r="I2956" i="2"/>
  <c r="N2956" i="2" s="1"/>
  <c r="I2957" i="2"/>
  <c r="N2957" i="2" s="1"/>
  <c r="I2958" i="2"/>
  <c r="N2958" i="2" s="1"/>
  <c r="I2961" i="2"/>
  <c r="N2961" i="2" s="1"/>
  <c r="I2962" i="2"/>
  <c r="N2962" i="2" s="1"/>
  <c r="G2960" i="2"/>
  <c r="I2960" i="2" s="1"/>
  <c r="G2959" i="2"/>
  <c r="M2959" i="2" s="1"/>
  <c r="G2948" i="2"/>
  <c r="M2948" i="2" s="1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G2928" i="2"/>
  <c r="G2938" i="2"/>
  <c r="G2937" i="2"/>
  <c r="I2920" i="2"/>
  <c r="N2920" i="2" s="1"/>
  <c r="I2921" i="2"/>
  <c r="N2921" i="2" s="1"/>
  <c r="I2922" i="2"/>
  <c r="N2922" i="2" s="1"/>
  <c r="I2923" i="2"/>
  <c r="N2923" i="2" s="1"/>
  <c r="I2924" i="2"/>
  <c r="N2924" i="2" s="1"/>
  <c r="I2925" i="2"/>
  <c r="N2925" i="2" s="1"/>
  <c r="I2926" i="2"/>
  <c r="N2926" i="2" s="1"/>
  <c r="I2927" i="2"/>
  <c r="N2927" i="2" s="1"/>
  <c r="I2929" i="2"/>
  <c r="N2929" i="2" s="1"/>
  <c r="I2930" i="2"/>
  <c r="N2930" i="2" s="1"/>
  <c r="I2931" i="2"/>
  <c r="N2931" i="2" s="1"/>
  <c r="I2932" i="2"/>
  <c r="N2932" i="2" s="1"/>
  <c r="I2933" i="2"/>
  <c r="N2933" i="2" s="1"/>
  <c r="I2934" i="2"/>
  <c r="N2934" i="2" s="1"/>
  <c r="I2935" i="2"/>
  <c r="N2935" i="2" s="1"/>
  <c r="I2936" i="2"/>
  <c r="N2936" i="2" s="1"/>
  <c r="I2939" i="2"/>
  <c r="N2939" i="2" s="1"/>
  <c r="I2940" i="2"/>
  <c r="N2940" i="2" s="1"/>
  <c r="I2941" i="2"/>
  <c r="N2941" i="2" s="1"/>
  <c r="I2942" i="2"/>
  <c r="N2942" i="2" s="1"/>
  <c r="I2943" i="2"/>
  <c r="N2943" i="2" s="1"/>
  <c r="I2944" i="2"/>
  <c r="N2944" i="2" s="1"/>
  <c r="I2945" i="2"/>
  <c r="N2945" i="2" s="1"/>
  <c r="I2946" i="2"/>
  <c r="N2946" i="2" s="1"/>
  <c r="I2947" i="2"/>
  <c r="N2947" i="2" s="1"/>
  <c r="I2910" i="2"/>
  <c r="N2910" i="2" s="1"/>
  <c r="I2911" i="2"/>
  <c r="N2911" i="2" s="1"/>
  <c r="I2912" i="2"/>
  <c r="N2912" i="2" s="1"/>
  <c r="I2913" i="2"/>
  <c r="N2913" i="2" s="1"/>
  <c r="I2914" i="2"/>
  <c r="N2914" i="2" s="1"/>
  <c r="I2915" i="2"/>
  <c r="N2915" i="2" s="1"/>
  <c r="I2916" i="2"/>
  <c r="N2916" i="2" s="1"/>
  <c r="I2918" i="2"/>
  <c r="N2918" i="2" s="1"/>
  <c r="I2919" i="2"/>
  <c r="N2919" i="2" s="1"/>
  <c r="G2917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883" i="2"/>
  <c r="I2900" i="2"/>
  <c r="N2900" i="2" s="1"/>
  <c r="I2903" i="2"/>
  <c r="N2903" i="2" s="1"/>
  <c r="I2904" i="2"/>
  <c r="N2904" i="2" s="1"/>
  <c r="I2905" i="2"/>
  <c r="N2905" i="2" s="1"/>
  <c r="I2906" i="2"/>
  <c r="N2906" i="2" s="1"/>
  <c r="I2907" i="2"/>
  <c r="N2907" i="2" s="1"/>
  <c r="I2908" i="2"/>
  <c r="N2908" i="2" s="1"/>
  <c r="I2898" i="2"/>
  <c r="N2898" i="2" s="1"/>
  <c r="I2897" i="2"/>
  <c r="N2897" i="2" s="1"/>
  <c r="I2896" i="2"/>
  <c r="N2896" i="2" s="1"/>
  <c r="I2895" i="2"/>
  <c r="N2895" i="2" s="1"/>
  <c r="I2894" i="2"/>
  <c r="N2894" i="2" s="1"/>
  <c r="I2893" i="2"/>
  <c r="I2892" i="2"/>
  <c r="N2892" i="2" s="1"/>
  <c r="I2891" i="2"/>
  <c r="N2891" i="2" s="1"/>
  <c r="I2890" i="2"/>
  <c r="N2890" i="2" s="1"/>
  <c r="I2889" i="2"/>
  <c r="N2889" i="2" s="1"/>
  <c r="I2888" i="2"/>
  <c r="N2888" i="2" s="1"/>
  <c r="I2887" i="2"/>
  <c r="N2887" i="2" s="1"/>
  <c r="I2886" i="2"/>
  <c r="N2886" i="2" s="1"/>
  <c r="I2885" i="2"/>
  <c r="N2885" i="2" s="1"/>
  <c r="I2884" i="2"/>
  <c r="N2884" i="2" s="1"/>
  <c r="I2883" i="2"/>
  <c r="N2883" i="2" s="1"/>
  <c r="G2909" i="2"/>
  <c r="M2909" i="2" s="1"/>
  <c r="G2902" i="2"/>
  <c r="G2901" i="2"/>
  <c r="M2901" i="2" s="1"/>
  <c r="G2899" i="2"/>
  <c r="M2899" i="2" s="1"/>
  <c r="M2526" i="2"/>
  <c r="M2528" i="2"/>
  <c r="M2529" i="2"/>
  <c r="M2531" i="2"/>
  <c r="M2532" i="2"/>
  <c r="N2532" i="2"/>
  <c r="M2533" i="2"/>
  <c r="M2534" i="2"/>
  <c r="M2535" i="2"/>
  <c r="M2536" i="2"/>
  <c r="M2538" i="2"/>
  <c r="M2539" i="2"/>
  <c r="N2539" i="2"/>
  <c r="M2540" i="2"/>
  <c r="M2541" i="2"/>
  <c r="M2542" i="2"/>
  <c r="M2544" i="2"/>
  <c r="M2545" i="2"/>
  <c r="M2546" i="2"/>
  <c r="M2547" i="2"/>
  <c r="M2548" i="2"/>
  <c r="M2549" i="2"/>
  <c r="M2550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N2565" i="2"/>
  <c r="M2566" i="2"/>
  <c r="N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5" i="2"/>
  <c r="N2595" i="2"/>
  <c r="M2596" i="2"/>
  <c r="N2596" i="2"/>
  <c r="M2597" i="2"/>
  <c r="M2598" i="2"/>
  <c r="M2599" i="2"/>
  <c r="M2600" i="2"/>
  <c r="M2601" i="2"/>
  <c r="N2601" i="2"/>
  <c r="M2602" i="2"/>
  <c r="N2602" i="2"/>
  <c r="M2603" i="2"/>
  <c r="M2604" i="2"/>
  <c r="N2604" i="2"/>
  <c r="M2605" i="2"/>
  <c r="M2606" i="2"/>
  <c r="M2607" i="2"/>
  <c r="M2608" i="2"/>
  <c r="M2609" i="2"/>
  <c r="M2610" i="2"/>
  <c r="M2611" i="2"/>
  <c r="M2612" i="2"/>
  <c r="M2613" i="2"/>
  <c r="N2613" i="2"/>
  <c r="M2614" i="2"/>
  <c r="M2615" i="2"/>
  <c r="M2616" i="2"/>
  <c r="M2617" i="2"/>
  <c r="M2619" i="2"/>
  <c r="M2620" i="2"/>
  <c r="M2621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N2634" i="2"/>
  <c r="M2635" i="2"/>
  <c r="M2636" i="2"/>
  <c r="M2637" i="2"/>
  <c r="M2638" i="2"/>
  <c r="M2639" i="2"/>
  <c r="M2640" i="2"/>
  <c r="M2641" i="2"/>
  <c r="M2642" i="2"/>
  <c r="M2643" i="2"/>
  <c r="M2644" i="2"/>
  <c r="M2645" i="2"/>
  <c r="M2647" i="2"/>
  <c r="M2648" i="2"/>
  <c r="M2649" i="2"/>
  <c r="M2650" i="2"/>
  <c r="M2651" i="2"/>
  <c r="N2651" i="2"/>
  <c r="M2652" i="2"/>
  <c r="M2654" i="2"/>
  <c r="M2655" i="2"/>
  <c r="M2656" i="2"/>
  <c r="N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6" i="2"/>
  <c r="M2677" i="2"/>
  <c r="N2677" i="2"/>
  <c r="M2678" i="2"/>
  <c r="M2679" i="2"/>
  <c r="M2680" i="2"/>
  <c r="M2681" i="2"/>
  <c r="M2682" i="2"/>
  <c r="M2684" i="2"/>
  <c r="M2685" i="2"/>
  <c r="M2686" i="2"/>
  <c r="M2687" i="2"/>
  <c r="M2690" i="2"/>
  <c r="M2691" i="2"/>
  <c r="M2692" i="2"/>
  <c r="M2693" i="2"/>
  <c r="M2694" i="2"/>
  <c r="N2694" i="2"/>
  <c r="M2695" i="2"/>
  <c r="M2696" i="2"/>
  <c r="M2697" i="2"/>
  <c r="M2698" i="2"/>
  <c r="M2699" i="2"/>
  <c r="M2702" i="2"/>
  <c r="M2703" i="2"/>
  <c r="M2704" i="2"/>
  <c r="M2705" i="2"/>
  <c r="M2706" i="2"/>
  <c r="M2707" i="2"/>
  <c r="M2708" i="2"/>
  <c r="M2709" i="2"/>
  <c r="M2710" i="2"/>
  <c r="M2711" i="2"/>
  <c r="N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4" i="2"/>
  <c r="M2735" i="2"/>
  <c r="M2736" i="2"/>
  <c r="M2737" i="2"/>
  <c r="M2738" i="2"/>
  <c r="M2739" i="2"/>
  <c r="M2740" i="2"/>
  <c r="M2741" i="2"/>
  <c r="M2742" i="2"/>
  <c r="M2745" i="2"/>
  <c r="M2746" i="2"/>
  <c r="M2747" i="2"/>
  <c r="M2748" i="2"/>
  <c r="M2749" i="2"/>
  <c r="M2750" i="2"/>
  <c r="M2753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N2769" i="2"/>
  <c r="M2771" i="2"/>
  <c r="M2772" i="2"/>
  <c r="M2773" i="2"/>
  <c r="M2774" i="2"/>
  <c r="M2775" i="2"/>
  <c r="M2777" i="2"/>
  <c r="M2778" i="2"/>
  <c r="M2779" i="2"/>
  <c r="M2781" i="2"/>
  <c r="M2782" i="2"/>
  <c r="M2784" i="2"/>
  <c r="M2785" i="2"/>
  <c r="N2785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4" i="2"/>
  <c r="M2805" i="2"/>
  <c r="M2806" i="2"/>
  <c r="M2807" i="2"/>
  <c r="M2808" i="2"/>
  <c r="M2809" i="2"/>
  <c r="M2810" i="2"/>
  <c r="M2811" i="2"/>
  <c r="M2812" i="2"/>
  <c r="M2813" i="2"/>
  <c r="M2815" i="2"/>
  <c r="M2816" i="2"/>
  <c r="M2817" i="2"/>
  <c r="M2818" i="2"/>
  <c r="M2819" i="2"/>
  <c r="M2820" i="2"/>
  <c r="M2821" i="2"/>
  <c r="M2822" i="2"/>
  <c r="M2823" i="2"/>
  <c r="M2825" i="2"/>
  <c r="M2826" i="2"/>
  <c r="M2827" i="2"/>
  <c r="M2828" i="2"/>
  <c r="M2829" i="2"/>
  <c r="M2831" i="2"/>
  <c r="M2832" i="2"/>
  <c r="M2834" i="2"/>
  <c r="M2835" i="2"/>
  <c r="M2836" i="2"/>
  <c r="M2838" i="2"/>
  <c r="M2840" i="2"/>
  <c r="M2842" i="2"/>
  <c r="M2843" i="2"/>
  <c r="M2844" i="2"/>
  <c r="M2845" i="2"/>
  <c r="M2847" i="2"/>
  <c r="M2848" i="2"/>
  <c r="M2849" i="2"/>
  <c r="M2850" i="2"/>
  <c r="M2851" i="2"/>
  <c r="M2852" i="2"/>
  <c r="M2854" i="2"/>
  <c r="M2855" i="2"/>
  <c r="M2856" i="2"/>
  <c r="M2857" i="2"/>
  <c r="M2859" i="2"/>
  <c r="M2860" i="2"/>
  <c r="M2861" i="2"/>
  <c r="M2862" i="2"/>
  <c r="M2863" i="2"/>
  <c r="M2864" i="2"/>
  <c r="M2865" i="2"/>
  <c r="M2866" i="2"/>
  <c r="M2867" i="2"/>
  <c r="M2868" i="2"/>
  <c r="M2869" i="2"/>
  <c r="M2871" i="2"/>
  <c r="M2872" i="2"/>
  <c r="M2873" i="2"/>
  <c r="M2874" i="2"/>
  <c r="M2875" i="2"/>
  <c r="M2876" i="2"/>
  <c r="M2877" i="2"/>
  <c r="M2878" i="2"/>
  <c r="M2879" i="2"/>
  <c r="M2880" i="2"/>
  <c r="M2881" i="2"/>
  <c r="I2909" i="2" l="1"/>
  <c r="N2909" i="2" s="1"/>
  <c r="I2938" i="2"/>
  <c r="M2938" i="2"/>
  <c r="I2899" i="2"/>
  <c r="N2899" i="2" s="1"/>
  <c r="I2917" i="2"/>
  <c r="M2917" i="2"/>
  <c r="I2937" i="2"/>
  <c r="M2937" i="2"/>
  <c r="I2901" i="2"/>
  <c r="N2901" i="2" s="1"/>
  <c r="I2928" i="2"/>
  <c r="M2928" i="2"/>
  <c r="I2948" i="2"/>
  <c r="N2948" i="2" s="1"/>
  <c r="I2902" i="2"/>
  <c r="M2902" i="2"/>
  <c r="I2959" i="2"/>
  <c r="N2959" i="2" s="1"/>
  <c r="I2968" i="2"/>
  <c r="N2968" i="2" s="1"/>
  <c r="N2893" i="2"/>
  <c r="F11" i="8" s="1"/>
  <c r="E11" i="8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I2882" i="2"/>
  <c r="I2871" i="2"/>
  <c r="N2871" i="2" s="1"/>
  <c r="I2872" i="2"/>
  <c r="N2872" i="2" s="1"/>
  <c r="I2873" i="2"/>
  <c r="N2873" i="2" s="1"/>
  <c r="I2874" i="2"/>
  <c r="N2874" i="2" s="1"/>
  <c r="I2875" i="2"/>
  <c r="N2875" i="2" s="1"/>
  <c r="I2876" i="2"/>
  <c r="N2876" i="2" s="1"/>
  <c r="I2877" i="2"/>
  <c r="N2877" i="2" s="1"/>
  <c r="I2878" i="2"/>
  <c r="N2878" i="2" s="1"/>
  <c r="I2879" i="2"/>
  <c r="N2879" i="2" s="1"/>
  <c r="I2880" i="2"/>
  <c r="N2880" i="2" s="1"/>
  <c r="I2881" i="2"/>
  <c r="N2881" i="2" s="1"/>
  <c r="G2870" i="2"/>
  <c r="M2870" i="2" s="1"/>
  <c r="C2870" i="2"/>
  <c r="C2862" i="2"/>
  <c r="C2863" i="2"/>
  <c r="C2864" i="2"/>
  <c r="C2865" i="2"/>
  <c r="C2866" i="2"/>
  <c r="C2867" i="2"/>
  <c r="C2868" i="2"/>
  <c r="C2869" i="2"/>
  <c r="I2862" i="2"/>
  <c r="N2862" i="2" s="1"/>
  <c r="I2863" i="2"/>
  <c r="N2863" i="2" s="1"/>
  <c r="I2864" i="2"/>
  <c r="N2864" i="2" s="1"/>
  <c r="I2865" i="2"/>
  <c r="N2865" i="2" s="1"/>
  <c r="I2866" i="2"/>
  <c r="N2866" i="2" s="1"/>
  <c r="I2867" i="2"/>
  <c r="N2867" i="2" s="1"/>
  <c r="I2868" i="2"/>
  <c r="N2868" i="2" s="1"/>
  <c r="I2869" i="2"/>
  <c r="N2869" i="2" s="1"/>
  <c r="C2861" i="2"/>
  <c r="C2860" i="2"/>
  <c r="C2859" i="2"/>
  <c r="I2859" i="2"/>
  <c r="N2859" i="2" s="1"/>
  <c r="I2860" i="2"/>
  <c r="N2860" i="2" s="1"/>
  <c r="I2861" i="2"/>
  <c r="N2861" i="2" s="1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I2847" i="2"/>
  <c r="N2847" i="2" s="1"/>
  <c r="I2848" i="2"/>
  <c r="N2848" i="2" s="1"/>
  <c r="I2849" i="2"/>
  <c r="N2849" i="2" s="1"/>
  <c r="I2850" i="2"/>
  <c r="N2850" i="2" s="1"/>
  <c r="I2851" i="2"/>
  <c r="N2851" i="2" s="1"/>
  <c r="I2852" i="2"/>
  <c r="N2852" i="2" s="1"/>
  <c r="I2854" i="2"/>
  <c r="N2854" i="2" s="1"/>
  <c r="I2855" i="2"/>
  <c r="N2855" i="2" s="1"/>
  <c r="I2856" i="2"/>
  <c r="N2856" i="2" s="1"/>
  <c r="I2857" i="2"/>
  <c r="N2857" i="2" s="1"/>
  <c r="G2858" i="2"/>
  <c r="M2858" i="2" s="1"/>
  <c r="G2853" i="2"/>
  <c r="M2853" i="2" s="1"/>
  <c r="I2842" i="2"/>
  <c r="N2842" i="2" s="1"/>
  <c r="I2843" i="2"/>
  <c r="N2843" i="2" s="1"/>
  <c r="I2844" i="2"/>
  <c r="N2844" i="2" s="1"/>
  <c r="I2845" i="2"/>
  <c r="N2845" i="2" s="1"/>
  <c r="G2846" i="2"/>
  <c r="M2846" i="2" s="1"/>
  <c r="G2841" i="2"/>
  <c r="M2841" i="2" s="1"/>
  <c r="G2839" i="2"/>
  <c r="M2839" i="2" s="1"/>
  <c r="C2830" i="2"/>
  <c r="C2831" i="2"/>
  <c r="C2832" i="2"/>
  <c r="C2833" i="2"/>
  <c r="C2834" i="2"/>
  <c r="C2835" i="2"/>
  <c r="C2836" i="2"/>
  <c r="C2837" i="2"/>
  <c r="C2838" i="2"/>
  <c r="C2839" i="2"/>
  <c r="C2840" i="2"/>
  <c r="I2830" i="2"/>
  <c r="I2831" i="2"/>
  <c r="N2831" i="2" s="1"/>
  <c r="I2832" i="2"/>
  <c r="N2832" i="2" s="1"/>
  <c r="I2834" i="2"/>
  <c r="N2834" i="2" s="1"/>
  <c r="I2835" i="2"/>
  <c r="N2835" i="2" s="1"/>
  <c r="I2836" i="2"/>
  <c r="N2836" i="2" s="1"/>
  <c r="I2838" i="2"/>
  <c r="N2838" i="2" s="1"/>
  <c r="I2839" i="2"/>
  <c r="I2840" i="2"/>
  <c r="N2840" i="2" s="1"/>
  <c r="G2837" i="2"/>
  <c r="M2837" i="2" s="1"/>
  <c r="G2833" i="2"/>
  <c r="M2833" i="2" s="1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I2815" i="2"/>
  <c r="N2815" i="2" s="1"/>
  <c r="I2816" i="2"/>
  <c r="N2816" i="2" s="1"/>
  <c r="I2817" i="2"/>
  <c r="N2817" i="2" s="1"/>
  <c r="I2818" i="2"/>
  <c r="N2818" i="2" s="1"/>
  <c r="I2819" i="2"/>
  <c r="N2819" i="2" s="1"/>
  <c r="I2820" i="2"/>
  <c r="N2820" i="2" s="1"/>
  <c r="I2821" i="2"/>
  <c r="N2821" i="2" s="1"/>
  <c r="I2822" i="2"/>
  <c r="N2822" i="2" s="1"/>
  <c r="I2823" i="2"/>
  <c r="N2823" i="2" s="1"/>
  <c r="I2825" i="2"/>
  <c r="N2825" i="2" s="1"/>
  <c r="I2826" i="2"/>
  <c r="N2826" i="2" s="1"/>
  <c r="I2827" i="2"/>
  <c r="N2827" i="2" s="1"/>
  <c r="I2828" i="2"/>
  <c r="N2828" i="2" s="1"/>
  <c r="I2829" i="2"/>
  <c r="N2829" i="2" s="1"/>
  <c r="G2824" i="2"/>
  <c r="M2824" i="2" s="1"/>
  <c r="G2814" i="2"/>
  <c r="M2814" i="2" s="1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I2804" i="2"/>
  <c r="N2804" i="2" s="1"/>
  <c r="I2805" i="2"/>
  <c r="N2805" i="2" s="1"/>
  <c r="I2806" i="2"/>
  <c r="N2806" i="2" s="1"/>
  <c r="I2807" i="2"/>
  <c r="N2807" i="2" s="1"/>
  <c r="I2808" i="2"/>
  <c r="N2808" i="2" s="1"/>
  <c r="I2809" i="2"/>
  <c r="N2809" i="2" s="1"/>
  <c r="I2810" i="2"/>
  <c r="N2810" i="2" s="1"/>
  <c r="I2811" i="2"/>
  <c r="N2811" i="2" s="1"/>
  <c r="I2812" i="2"/>
  <c r="N2812" i="2" s="1"/>
  <c r="I2813" i="2"/>
  <c r="N2813" i="2" s="1"/>
  <c r="G2803" i="2"/>
  <c r="M2803" i="2" s="1"/>
  <c r="I2793" i="2"/>
  <c r="N2793" i="2" s="1"/>
  <c r="I2794" i="2"/>
  <c r="N2794" i="2" s="1"/>
  <c r="I2795" i="2"/>
  <c r="N2795" i="2" s="1"/>
  <c r="I2796" i="2"/>
  <c r="N2796" i="2" s="1"/>
  <c r="I2797" i="2"/>
  <c r="N2797" i="2" s="1"/>
  <c r="I2798" i="2"/>
  <c r="N2798" i="2" s="1"/>
  <c r="I2799" i="2"/>
  <c r="N2799" i="2" s="1"/>
  <c r="I2800" i="2"/>
  <c r="N2800" i="2" s="1"/>
  <c r="I2801" i="2"/>
  <c r="N2801" i="2" s="1"/>
  <c r="I2802" i="2"/>
  <c r="N2802" i="2" s="1"/>
  <c r="I2792" i="2"/>
  <c r="N2792" i="2" s="1"/>
  <c r="I2791" i="2"/>
  <c r="N2791" i="2" s="1"/>
  <c r="I2790" i="2"/>
  <c r="N2790" i="2" s="1"/>
  <c r="I2789" i="2"/>
  <c r="N2789" i="2" s="1"/>
  <c r="G2783" i="2"/>
  <c r="M2783" i="2" s="1"/>
  <c r="G2780" i="2"/>
  <c r="I2777" i="2"/>
  <c r="N2777" i="2" s="1"/>
  <c r="I2778" i="2"/>
  <c r="N2778" i="2" s="1"/>
  <c r="I2779" i="2"/>
  <c r="N2779" i="2" s="1"/>
  <c r="I2781" i="2"/>
  <c r="N2781" i="2" s="1"/>
  <c r="I2782" i="2"/>
  <c r="N2782" i="2" s="1"/>
  <c r="I2784" i="2"/>
  <c r="N2784" i="2" s="1"/>
  <c r="I2785" i="2"/>
  <c r="I2787" i="2"/>
  <c r="N2787" i="2" s="1"/>
  <c r="I2788" i="2"/>
  <c r="N2788" i="2" s="1"/>
  <c r="I2775" i="2"/>
  <c r="N2775" i="2" s="1"/>
  <c r="I2774" i="2"/>
  <c r="N2774" i="2" s="1"/>
  <c r="G2786" i="2"/>
  <c r="M2786" i="2" s="1"/>
  <c r="G2776" i="2"/>
  <c r="M2776" i="2" s="1"/>
  <c r="I2753" i="2"/>
  <c r="N2753" i="2" s="1"/>
  <c r="I2755" i="2"/>
  <c r="N2755" i="2" s="1"/>
  <c r="I2756" i="2"/>
  <c r="N2756" i="2" s="1"/>
  <c r="I2757" i="2"/>
  <c r="N2757" i="2" s="1"/>
  <c r="I2758" i="2"/>
  <c r="N2758" i="2" s="1"/>
  <c r="I2759" i="2"/>
  <c r="N2759" i="2" s="1"/>
  <c r="I2760" i="2"/>
  <c r="N2760" i="2" s="1"/>
  <c r="I2761" i="2"/>
  <c r="N2761" i="2" s="1"/>
  <c r="I2762" i="2"/>
  <c r="N2762" i="2" s="1"/>
  <c r="I2763" i="2"/>
  <c r="N2763" i="2" s="1"/>
  <c r="I2764" i="2"/>
  <c r="N2764" i="2" s="1"/>
  <c r="I2765" i="2"/>
  <c r="N2765" i="2" s="1"/>
  <c r="I2766" i="2"/>
  <c r="N2766" i="2" s="1"/>
  <c r="I2767" i="2"/>
  <c r="N2767" i="2" s="1"/>
  <c r="I2768" i="2"/>
  <c r="N2768" i="2" s="1"/>
  <c r="I2769" i="2"/>
  <c r="I2771" i="2"/>
  <c r="N2771" i="2" s="1"/>
  <c r="I2772" i="2"/>
  <c r="N2772" i="2" s="1"/>
  <c r="I2773" i="2"/>
  <c r="N2773" i="2" s="1"/>
  <c r="G2754" i="2"/>
  <c r="M2754" i="2" s="1"/>
  <c r="G2752" i="2"/>
  <c r="M2752" i="2" s="1"/>
  <c r="G2751" i="2"/>
  <c r="M2751" i="2" s="1"/>
  <c r="G2770" i="2"/>
  <c r="M2770" i="2" s="1"/>
  <c r="I2750" i="2"/>
  <c r="N2750" i="2" s="1"/>
  <c r="I2749" i="2"/>
  <c r="N2749" i="2" s="1"/>
  <c r="I2748" i="2"/>
  <c r="N2748" i="2" s="1"/>
  <c r="I2747" i="2"/>
  <c r="N2747" i="2" s="1"/>
  <c r="I2746" i="2"/>
  <c r="N2746" i="2" s="1"/>
  <c r="I2745" i="2"/>
  <c r="N2745" i="2" s="1"/>
  <c r="I2742" i="2"/>
  <c r="N2742" i="2" s="1"/>
  <c r="I2741" i="2"/>
  <c r="N2741" i="2" s="1"/>
  <c r="I2740" i="2"/>
  <c r="N2740" i="2" s="1"/>
  <c r="I2739" i="2"/>
  <c r="N2739" i="2" s="1"/>
  <c r="I2738" i="2"/>
  <c r="N2738" i="2" s="1"/>
  <c r="I2737" i="2"/>
  <c r="N2737" i="2" s="1"/>
  <c r="I2736" i="2"/>
  <c r="N2736" i="2" s="1"/>
  <c r="G2744" i="2"/>
  <c r="M2744" i="2" s="1"/>
  <c r="G2743" i="2"/>
  <c r="M2743" i="2" s="1"/>
  <c r="I2735" i="2"/>
  <c r="N2735" i="2" s="1"/>
  <c r="I2734" i="2"/>
  <c r="N2734" i="2" s="1"/>
  <c r="I2732" i="2"/>
  <c r="N2732" i="2" s="1"/>
  <c r="I2731" i="2"/>
  <c r="N2731" i="2" s="1"/>
  <c r="G2733" i="2"/>
  <c r="M2733" i="2" s="1"/>
  <c r="I2730" i="2"/>
  <c r="N2730" i="2" s="1"/>
  <c r="I2729" i="2"/>
  <c r="N2729" i="2" s="1"/>
  <c r="I2728" i="2"/>
  <c r="N2728" i="2" s="1"/>
  <c r="I2727" i="2"/>
  <c r="N2727" i="2" s="1"/>
  <c r="I2726" i="2"/>
  <c r="N2726" i="2" s="1"/>
  <c r="I2725" i="2"/>
  <c r="N2725" i="2" s="1"/>
  <c r="I2724" i="2"/>
  <c r="N2724" i="2" s="1"/>
  <c r="I2723" i="2"/>
  <c r="N2723" i="2" s="1"/>
  <c r="I2722" i="2"/>
  <c r="N2722" i="2" s="1"/>
  <c r="I2721" i="2"/>
  <c r="N2721" i="2" s="1"/>
  <c r="I2720" i="2"/>
  <c r="N2720" i="2" s="1"/>
  <c r="I2719" i="2"/>
  <c r="N2719" i="2" s="1"/>
  <c r="I2718" i="2"/>
  <c r="N2718" i="2" s="1"/>
  <c r="I2717" i="2"/>
  <c r="N2717" i="2" s="1"/>
  <c r="I2716" i="2"/>
  <c r="N2716" i="2" s="1"/>
  <c r="I2715" i="2"/>
  <c r="N2715" i="2" s="1"/>
  <c r="I2714" i="2"/>
  <c r="N2714" i="2" s="1"/>
  <c r="I2713" i="2"/>
  <c r="N2713" i="2" s="1"/>
  <c r="I2712" i="2"/>
  <c r="N2712" i="2" s="1"/>
  <c r="I2711" i="2"/>
  <c r="I2710" i="2"/>
  <c r="N2710" i="2" s="1"/>
  <c r="I2690" i="2"/>
  <c r="N2690" i="2" s="1"/>
  <c r="I2691" i="2"/>
  <c r="N2691" i="2" s="1"/>
  <c r="I2692" i="2"/>
  <c r="N2692" i="2" s="1"/>
  <c r="I2693" i="2"/>
  <c r="N2693" i="2" s="1"/>
  <c r="I2694" i="2"/>
  <c r="I2695" i="2"/>
  <c r="N2695" i="2" s="1"/>
  <c r="I2696" i="2"/>
  <c r="N2696" i="2" s="1"/>
  <c r="I2697" i="2"/>
  <c r="N2697" i="2" s="1"/>
  <c r="I2698" i="2"/>
  <c r="N2698" i="2" s="1"/>
  <c r="I2699" i="2"/>
  <c r="N2699" i="2" s="1"/>
  <c r="I2700" i="2"/>
  <c r="I2702" i="2"/>
  <c r="N2702" i="2" s="1"/>
  <c r="I2703" i="2"/>
  <c r="N2703" i="2" s="1"/>
  <c r="I2704" i="2"/>
  <c r="N2704" i="2" s="1"/>
  <c r="I2705" i="2"/>
  <c r="N2705" i="2" s="1"/>
  <c r="I2706" i="2"/>
  <c r="N2706" i="2" s="1"/>
  <c r="I2707" i="2"/>
  <c r="N2707" i="2" s="1"/>
  <c r="I2708" i="2"/>
  <c r="N2708" i="2" s="1"/>
  <c r="I2709" i="2"/>
  <c r="N2709" i="2" s="1"/>
  <c r="G2701" i="2"/>
  <c r="M2701" i="2" s="1"/>
  <c r="G2700" i="2"/>
  <c r="M2700" i="2" s="1"/>
  <c r="G2689" i="2"/>
  <c r="M2689" i="2" s="1"/>
  <c r="G2688" i="2"/>
  <c r="M2688" i="2" s="1"/>
  <c r="I2858" i="2" l="1"/>
  <c r="I2701" i="2"/>
  <c r="N2701" i="2" s="1"/>
  <c r="I2770" i="2"/>
  <c r="N2770" i="2" s="1"/>
  <c r="I2783" i="2"/>
  <c r="N2783" i="2" s="1"/>
  <c r="I2824" i="2"/>
  <c r="N2824" i="2" s="1"/>
  <c r="I2733" i="2"/>
  <c r="N2733" i="2" s="1"/>
  <c r="N2938" i="2"/>
  <c r="N2839" i="2"/>
  <c r="N2937" i="2"/>
  <c r="I2688" i="2"/>
  <c r="N2688" i="2" s="1"/>
  <c r="N2928" i="2"/>
  <c r="N2902" i="2"/>
  <c r="N2917" i="2"/>
  <c r="I2846" i="2"/>
  <c r="N2846" i="2" s="1"/>
  <c r="I2751" i="2"/>
  <c r="N2751" i="2" s="1"/>
  <c r="I2833" i="2"/>
  <c r="N2833" i="2" s="1"/>
  <c r="I2780" i="2"/>
  <c r="M2780" i="2"/>
  <c r="N2700" i="2"/>
  <c r="I2743" i="2"/>
  <c r="N2743" i="2" s="1"/>
  <c r="N2858" i="2"/>
  <c r="I2754" i="2"/>
  <c r="N2754" i="2" s="1"/>
  <c r="I2837" i="2"/>
  <c r="N2837" i="2" s="1"/>
  <c r="I2744" i="2"/>
  <c r="N2744" i="2" s="1"/>
  <c r="I2752" i="2"/>
  <c r="N2752" i="2" s="1"/>
  <c r="I2786" i="2"/>
  <c r="N2786" i="2" s="1"/>
  <c r="I2814" i="2"/>
  <c r="N2814" i="2" s="1"/>
  <c r="I2689" i="2"/>
  <c r="N2689" i="2" s="1"/>
  <c r="I2776" i="2"/>
  <c r="N2776" i="2" s="1"/>
  <c r="I2803" i="2"/>
  <c r="N2803" i="2" s="1"/>
  <c r="I2841" i="2"/>
  <c r="N2841" i="2" s="1"/>
  <c r="I2853" i="2"/>
  <c r="N2853" i="2" s="1"/>
  <c r="I2870" i="2"/>
  <c r="N2870" i="2" s="1"/>
  <c r="E49" i="7" s="1"/>
  <c r="E73" i="7"/>
  <c r="E72" i="7"/>
  <c r="E71" i="7"/>
  <c r="E69" i="7"/>
  <c r="E67" i="7"/>
  <c r="E66" i="7"/>
  <c r="E65" i="7"/>
  <c r="E64" i="7"/>
  <c r="E63" i="7"/>
  <c r="E61" i="7"/>
  <c r="E60" i="7"/>
  <c r="E59" i="7"/>
  <c r="E58" i="7"/>
  <c r="E57" i="7"/>
  <c r="E52" i="7"/>
  <c r="E53" i="7"/>
  <c r="E54" i="7"/>
  <c r="E55" i="7"/>
  <c r="E51" i="7"/>
  <c r="D73" i="7"/>
  <c r="D72" i="7"/>
  <c r="D71" i="7"/>
  <c r="D70" i="7"/>
  <c r="D69" i="7"/>
  <c r="D67" i="7"/>
  <c r="D66" i="7"/>
  <c r="D65" i="7"/>
  <c r="D64" i="7"/>
  <c r="D63" i="7"/>
  <c r="D61" i="7"/>
  <c r="D60" i="7"/>
  <c r="D59" i="7"/>
  <c r="D58" i="7"/>
  <c r="D57" i="7"/>
  <c r="D52" i="7"/>
  <c r="D53" i="7"/>
  <c r="D54" i="7"/>
  <c r="D55" i="7"/>
  <c r="D51" i="7"/>
  <c r="D49" i="7"/>
  <c r="N2780" i="2" l="1"/>
  <c r="D47" i="7"/>
  <c r="D48" i="7"/>
  <c r="E48" i="7"/>
  <c r="E47" i="7"/>
  <c r="E56" i="7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6" i="9"/>
  <c r="C346" i="9"/>
  <c r="D345" i="9"/>
  <c r="C345" i="9"/>
  <c r="D344" i="9"/>
  <c r="C344" i="9"/>
  <c r="D343" i="9"/>
  <c r="C343" i="9"/>
  <c r="D342" i="9"/>
  <c r="C342" i="9"/>
  <c r="C341" i="9"/>
  <c r="D340" i="9"/>
  <c r="C340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C249" i="9"/>
  <c r="D249" i="9"/>
  <c r="C250" i="9"/>
  <c r="D250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2" i="9"/>
  <c r="C252" i="9"/>
  <c r="D251" i="9"/>
  <c r="C251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0" i="9"/>
  <c r="C230" i="9"/>
  <c r="D223" i="9"/>
  <c r="C223" i="9"/>
  <c r="D215" i="9"/>
  <c r="C215" i="9"/>
  <c r="D209" i="9"/>
  <c r="C209" i="9"/>
  <c r="D208" i="9"/>
  <c r="C208" i="9"/>
  <c r="D201" i="9"/>
  <c r="C201" i="9"/>
  <c r="D194" i="9"/>
  <c r="C194" i="9"/>
  <c r="C186" i="9"/>
  <c r="D186" i="9"/>
  <c r="D179" i="9"/>
  <c r="C179" i="9"/>
  <c r="D172" i="9"/>
  <c r="C172" i="9"/>
  <c r="D165" i="9"/>
  <c r="C165" i="9"/>
  <c r="D159" i="9"/>
  <c r="C159" i="9"/>
  <c r="D157" i="9"/>
  <c r="C157" i="9"/>
  <c r="D156" i="9"/>
  <c r="C156" i="9"/>
  <c r="D150" i="9"/>
  <c r="C150" i="9"/>
  <c r="D143" i="9"/>
  <c r="C143" i="9"/>
  <c r="D142" i="9"/>
  <c r="C142" i="9"/>
  <c r="D141" i="9"/>
  <c r="C141" i="9"/>
  <c r="D139" i="9"/>
  <c r="C139" i="9"/>
  <c r="D138" i="9"/>
  <c r="C138" i="9"/>
  <c r="D137" i="9"/>
  <c r="C137" i="9"/>
  <c r="D136" i="9"/>
  <c r="C136" i="9"/>
  <c r="D129" i="9"/>
  <c r="C129" i="9"/>
  <c r="D127" i="9"/>
  <c r="C127" i="9"/>
  <c r="D121" i="9"/>
  <c r="C121" i="9"/>
  <c r="D114" i="9"/>
  <c r="C114" i="9"/>
  <c r="D107" i="9"/>
  <c r="C107" i="9"/>
  <c r="D106" i="9"/>
  <c r="C106" i="9"/>
  <c r="D105" i="9"/>
  <c r="C105" i="9"/>
  <c r="D104" i="9"/>
  <c r="C104" i="9"/>
  <c r="D103" i="9"/>
  <c r="C103" i="9"/>
  <c r="D100" i="9"/>
  <c r="C100" i="9"/>
  <c r="D71" i="9"/>
  <c r="D78" i="9"/>
  <c r="D85" i="9"/>
  <c r="D92" i="9"/>
  <c r="D64" i="9"/>
  <c r="C71" i="9"/>
  <c r="C78" i="9"/>
  <c r="C85" i="9"/>
  <c r="C92" i="9"/>
  <c r="C64" i="9"/>
  <c r="D35" i="9"/>
  <c r="D42" i="9"/>
  <c r="D49" i="9"/>
  <c r="D56" i="9"/>
  <c r="C35" i="9"/>
  <c r="C42" i="9"/>
  <c r="C49" i="9"/>
  <c r="C56" i="9"/>
  <c r="D6" i="9"/>
  <c r="D13" i="9"/>
  <c r="D20" i="9"/>
  <c r="D27" i="9"/>
  <c r="D2" i="9"/>
  <c r="C6" i="9"/>
  <c r="C13" i="9"/>
  <c r="C20" i="9"/>
  <c r="C27" i="9"/>
  <c r="C2" i="9"/>
  <c r="C2688" i="2"/>
  <c r="C2678" i="2"/>
  <c r="C2679" i="2"/>
  <c r="C2680" i="2"/>
  <c r="C2681" i="2"/>
  <c r="C2682" i="2"/>
  <c r="C2683" i="2"/>
  <c r="C2684" i="2"/>
  <c r="C2685" i="2"/>
  <c r="C2686" i="2"/>
  <c r="C2687" i="2"/>
  <c r="I2684" i="2"/>
  <c r="N2684" i="2" s="1"/>
  <c r="I2685" i="2"/>
  <c r="N2685" i="2" s="1"/>
  <c r="I2686" i="2"/>
  <c r="N2686" i="2" s="1"/>
  <c r="I2687" i="2"/>
  <c r="N2687" i="2" s="1"/>
  <c r="I2678" i="2"/>
  <c r="N2678" i="2" s="1"/>
  <c r="I2679" i="2"/>
  <c r="N2679" i="2" s="1"/>
  <c r="I2680" i="2"/>
  <c r="N2680" i="2" s="1"/>
  <c r="I2681" i="2"/>
  <c r="N2681" i="2" s="1"/>
  <c r="I2682" i="2"/>
  <c r="N2682" i="2" s="1"/>
  <c r="H2683" i="2"/>
  <c r="G2683" i="2"/>
  <c r="M2683" i="2" s="1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I2673" i="2"/>
  <c r="N2673" i="2" s="1"/>
  <c r="I2674" i="2"/>
  <c r="N2674" i="2" s="1"/>
  <c r="I2676" i="2"/>
  <c r="N2676" i="2" s="1"/>
  <c r="I2677" i="2"/>
  <c r="I2672" i="2"/>
  <c r="N2672" i="2" s="1"/>
  <c r="G2675" i="2"/>
  <c r="I2665" i="2"/>
  <c r="N2665" i="2" s="1"/>
  <c r="I2666" i="2"/>
  <c r="N2666" i="2" s="1"/>
  <c r="I2667" i="2"/>
  <c r="N2667" i="2" s="1"/>
  <c r="I2668" i="2"/>
  <c r="N2668" i="2" s="1"/>
  <c r="I2669" i="2"/>
  <c r="N2669" i="2" s="1"/>
  <c r="I2670" i="2"/>
  <c r="N2670" i="2" s="1"/>
  <c r="I2671" i="2"/>
  <c r="N2671" i="2" s="1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I2664" i="2"/>
  <c r="N2664" i="2" s="1"/>
  <c r="I2663" i="2"/>
  <c r="N2663" i="2" s="1"/>
  <c r="I2662" i="2"/>
  <c r="N2662" i="2" s="1"/>
  <c r="I2661" i="2"/>
  <c r="N2661" i="2" s="1"/>
  <c r="I2660" i="2"/>
  <c r="G2653" i="2"/>
  <c r="I2654" i="2"/>
  <c r="N2654" i="2" s="1"/>
  <c r="I2655" i="2"/>
  <c r="N2655" i="2" s="1"/>
  <c r="I2656" i="2"/>
  <c r="I2657" i="2"/>
  <c r="N2657" i="2" s="1"/>
  <c r="I2658" i="2"/>
  <c r="I2659" i="2"/>
  <c r="N2659" i="2" s="1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I2647" i="2"/>
  <c r="N2647" i="2" s="1"/>
  <c r="I2648" i="2"/>
  <c r="N2648" i="2" s="1"/>
  <c r="I2649" i="2"/>
  <c r="N2649" i="2" s="1"/>
  <c r="I2650" i="2"/>
  <c r="N2650" i="2" s="1"/>
  <c r="I2651" i="2"/>
  <c r="I2652" i="2"/>
  <c r="N2652" i="2" s="1"/>
  <c r="I2645" i="2"/>
  <c r="N2645" i="2" s="1"/>
  <c r="I2644" i="2"/>
  <c r="N2644" i="2" s="1"/>
  <c r="I2643" i="2"/>
  <c r="N2643" i="2" s="1"/>
  <c r="I2642" i="2"/>
  <c r="N2642" i="2" s="1"/>
  <c r="I2641" i="2"/>
  <c r="N2641" i="2" s="1"/>
  <c r="I2640" i="2"/>
  <c r="N2640" i="2" s="1"/>
  <c r="I2639" i="2"/>
  <c r="N2639" i="2" s="1"/>
  <c r="I2638" i="2"/>
  <c r="N2638" i="2" s="1"/>
  <c r="I2637" i="2"/>
  <c r="N2637" i="2" s="1"/>
  <c r="I2636" i="2"/>
  <c r="N2636" i="2" s="1"/>
  <c r="G2646" i="2"/>
  <c r="I2633" i="2"/>
  <c r="N2633" i="2" s="1"/>
  <c r="I2634" i="2"/>
  <c r="I2635" i="2"/>
  <c r="N2635" i="2" s="1"/>
  <c r="I2632" i="2"/>
  <c r="N2632" i="2" s="1"/>
  <c r="I2631" i="2"/>
  <c r="N2631" i="2" s="1"/>
  <c r="I2630" i="2"/>
  <c r="N2630" i="2" s="1"/>
  <c r="I2629" i="2"/>
  <c r="N2629" i="2" s="1"/>
  <c r="I2628" i="2"/>
  <c r="N2628" i="2" s="1"/>
  <c r="I2627" i="2"/>
  <c r="N2627" i="2" s="1"/>
  <c r="I2626" i="2"/>
  <c r="N2626" i="2" s="1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I2623" i="2"/>
  <c r="N2623" i="2" s="1"/>
  <c r="I2624" i="2"/>
  <c r="N2624" i="2" s="1"/>
  <c r="I2625" i="2"/>
  <c r="N2625" i="2" s="1"/>
  <c r="G2613" i="2"/>
  <c r="I2613" i="2" s="1"/>
  <c r="I2619" i="2"/>
  <c r="N2619" i="2" s="1"/>
  <c r="I2620" i="2"/>
  <c r="N2620" i="2" s="1"/>
  <c r="I2621" i="2"/>
  <c r="N2621" i="2" s="1"/>
  <c r="G2622" i="2"/>
  <c r="I2607" i="2"/>
  <c r="N2607" i="2" s="1"/>
  <c r="I2608" i="2"/>
  <c r="N2608" i="2" s="1"/>
  <c r="I2609" i="2"/>
  <c r="N2609" i="2" s="1"/>
  <c r="I2610" i="2"/>
  <c r="N2610" i="2" s="1"/>
  <c r="I2611" i="2"/>
  <c r="N2611" i="2" s="1"/>
  <c r="I2612" i="2"/>
  <c r="N2612" i="2" s="1"/>
  <c r="I2614" i="2"/>
  <c r="N2614" i="2" s="1"/>
  <c r="I2615" i="2"/>
  <c r="N2615" i="2" s="1"/>
  <c r="I2616" i="2"/>
  <c r="N2616" i="2" s="1"/>
  <c r="I2617" i="2"/>
  <c r="N2617" i="2" s="1"/>
  <c r="G2618" i="2"/>
  <c r="M2618" i="2" s="1"/>
  <c r="I2595" i="2"/>
  <c r="I2596" i="2"/>
  <c r="I2597" i="2"/>
  <c r="N2597" i="2" s="1"/>
  <c r="I2598" i="2"/>
  <c r="N2598" i="2" s="1"/>
  <c r="I2599" i="2"/>
  <c r="N2599" i="2" s="1"/>
  <c r="I2600" i="2"/>
  <c r="N2600" i="2" s="1"/>
  <c r="I2601" i="2"/>
  <c r="I2602" i="2"/>
  <c r="I2603" i="2"/>
  <c r="N2603" i="2" s="1"/>
  <c r="I2604" i="2"/>
  <c r="I2605" i="2"/>
  <c r="N2605" i="2" s="1"/>
  <c r="I2606" i="2"/>
  <c r="N2606" i="2" s="1"/>
  <c r="I2593" i="2"/>
  <c r="G2594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I2592" i="2"/>
  <c r="N2592" i="2" s="1"/>
  <c r="I2591" i="2"/>
  <c r="N2591" i="2" s="1"/>
  <c r="I2590" i="2"/>
  <c r="N2590" i="2" s="1"/>
  <c r="I2589" i="2"/>
  <c r="N2589" i="2" s="1"/>
  <c r="I2588" i="2"/>
  <c r="N2588" i="2" s="1"/>
  <c r="I2587" i="2"/>
  <c r="N2587" i="2" s="1"/>
  <c r="I2586" i="2"/>
  <c r="N2586" i="2" s="1"/>
  <c r="I2585" i="2"/>
  <c r="N2585" i="2" s="1"/>
  <c r="I2584" i="2"/>
  <c r="N2584" i="2" s="1"/>
  <c r="I2583" i="2"/>
  <c r="N2583" i="2" s="1"/>
  <c r="I2582" i="2"/>
  <c r="N2582" i="2" s="1"/>
  <c r="I2581" i="2"/>
  <c r="N2581" i="2" s="1"/>
  <c r="I2580" i="2"/>
  <c r="N2580" i="2" s="1"/>
  <c r="I2579" i="2"/>
  <c r="N2579" i="2" s="1"/>
  <c r="I2578" i="2"/>
  <c r="N2578" i="2" s="1"/>
  <c r="C2572" i="2"/>
  <c r="C2573" i="2"/>
  <c r="C2574" i="2"/>
  <c r="C2575" i="2"/>
  <c r="C2576" i="2"/>
  <c r="C2577" i="2"/>
  <c r="I2577" i="2"/>
  <c r="N2577" i="2" s="1"/>
  <c r="I2576" i="2"/>
  <c r="N2576" i="2" s="1"/>
  <c r="I2575" i="2"/>
  <c r="N2575" i="2" s="1"/>
  <c r="I2574" i="2"/>
  <c r="N2574" i="2" s="1"/>
  <c r="I2573" i="2"/>
  <c r="N2573" i="2" s="1"/>
  <c r="I2572" i="2"/>
  <c r="N2572" i="2" s="1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I2571" i="2"/>
  <c r="N2571" i="2" s="1"/>
  <c r="I2570" i="2"/>
  <c r="I2569" i="2"/>
  <c r="N2569" i="2" s="1"/>
  <c r="I2568" i="2"/>
  <c r="N2568" i="2" s="1"/>
  <c r="I2567" i="2"/>
  <c r="N2567" i="2" s="1"/>
  <c r="I2566" i="2"/>
  <c r="I2565" i="2"/>
  <c r="I2564" i="2"/>
  <c r="N2564" i="2" s="1"/>
  <c r="I2563" i="2"/>
  <c r="N2563" i="2" s="1"/>
  <c r="I2562" i="2"/>
  <c r="N2562" i="2" s="1"/>
  <c r="I2561" i="2"/>
  <c r="N2561" i="2" s="1"/>
  <c r="I2560" i="2"/>
  <c r="N2560" i="2" s="1"/>
  <c r="I2559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26" i="2"/>
  <c r="I2544" i="2"/>
  <c r="N2544" i="2" s="1"/>
  <c r="I2545" i="2"/>
  <c r="N2545" i="2" s="1"/>
  <c r="I2546" i="2"/>
  <c r="N2546" i="2" s="1"/>
  <c r="I2547" i="2"/>
  <c r="N2547" i="2" s="1"/>
  <c r="I2548" i="2"/>
  <c r="N2548" i="2" s="1"/>
  <c r="I2549" i="2"/>
  <c r="N2549" i="2" s="1"/>
  <c r="I2550" i="2"/>
  <c r="N2550" i="2" s="1"/>
  <c r="I2552" i="2"/>
  <c r="N2552" i="2" s="1"/>
  <c r="I2553" i="2"/>
  <c r="N2553" i="2" s="1"/>
  <c r="I2554" i="2"/>
  <c r="N2554" i="2" s="1"/>
  <c r="I2555" i="2"/>
  <c r="N2555" i="2" s="1"/>
  <c r="I2556" i="2"/>
  <c r="N2556" i="2" s="1"/>
  <c r="I2557" i="2"/>
  <c r="N2557" i="2" s="1"/>
  <c r="I2558" i="2"/>
  <c r="N2558" i="2" s="1"/>
  <c r="G2551" i="2"/>
  <c r="I2526" i="2"/>
  <c r="N2526" i="2" s="1"/>
  <c r="I2528" i="2"/>
  <c r="N2528" i="2" s="1"/>
  <c r="I2529" i="2"/>
  <c r="N2529" i="2" s="1"/>
  <c r="I2531" i="2"/>
  <c r="N2531" i="2" s="1"/>
  <c r="I2532" i="2"/>
  <c r="I2533" i="2"/>
  <c r="N2533" i="2" s="1"/>
  <c r="I2534" i="2"/>
  <c r="N2534" i="2" s="1"/>
  <c r="I2535" i="2"/>
  <c r="N2535" i="2" s="1"/>
  <c r="I2536" i="2"/>
  <c r="N2536" i="2" s="1"/>
  <c r="I2538" i="2"/>
  <c r="N2538" i="2" s="1"/>
  <c r="I2539" i="2"/>
  <c r="I2540" i="2"/>
  <c r="N2540" i="2" s="1"/>
  <c r="I2541" i="2"/>
  <c r="N2541" i="2" s="1"/>
  <c r="I2542" i="2"/>
  <c r="N2542" i="2" s="1"/>
  <c r="G2543" i="2"/>
  <c r="G2537" i="2"/>
  <c r="G2530" i="2"/>
  <c r="G2527" i="2"/>
  <c r="I2618" i="2" l="1"/>
  <c r="D316" i="9"/>
  <c r="N2559" i="2"/>
  <c r="F10" i="8" s="1"/>
  <c r="E10" i="8"/>
  <c r="D227" i="9"/>
  <c r="D226" i="9"/>
  <c r="I2530" i="2"/>
  <c r="M2530" i="2"/>
  <c r="N2570" i="2"/>
  <c r="D225" i="9" s="1"/>
  <c r="N2658" i="2"/>
  <c r="I2543" i="2"/>
  <c r="M2543" i="2"/>
  <c r="N2593" i="2"/>
  <c r="N2660" i="2"/>
  <c r="D234" i="9" s="1"/>
  <c r="I2675" i="2"/>
  <c r="C235" i="9" s="1"/>
  <c r="M2675" i="2"/>
  <c r="I2537" i="2"/>
  <c r="M2537" i="2"/>
  <c r="I2594" i="2"/>
  <c r="C229" i="9" s="1"/>
  <c r="M2594" i="2"/>
  <c r="I2527" i="2"/>
  <c r="M2527" i="2"/>
  <c r="N2618" i="2"/>
  <c r="I2622" i="2"/>
  <c r="M2622" i="2"/>
  <c r="I2646" i="2"/>
  <c r="C232" i="9" s="1"/>
  <c r="M2646" i="2"/>
  <c r="I2551" i="2"/>
  <c r="C224" i="9" s="1"/>
  <c r="M2551" i="2"/>
  <c r="I2653" i="2"/>
  <c r="C233" i="9" s="1"/>
  <c r="M2653" i="2"/>
  <c r="D228" i="9"/>
  <c r="C227" i="9"/>
  <c r="C226" i="9"/>
  <c r="C228" i="9"/>
  <c r="C225" i="9"/>
  <c r="C234" i="9"/>
  <c r="I2683" i="2"/>
  <c r="C231" i="9"/>
  <c r="E249" i="9"/>
  <c r="D379" i="9"/>
  <c r="E269" i="9"/>
  <c r="E308" i="9"/>
  <c r="E327" i="9"/>
  <c r="E348" i="9"/>
  <c r="E350" i="9"/>
  <c r="E352" i="9"/>
  <c r="E354" i="9"/>
  <c r="E356" i="9"/>
  <c r="E358" i="9"/>
  <c r="E360" i="9"/>
  <c r="E362" i="9"/>
  <c r="E364" i="9"/>
  <c r="E366" i="9"/>
  <c r="E368" i="9"/>
  <c r="E370" i="9"/>
  <c r="E372" i="9"/>
  <c r="E374" i="9"/>
  <c r="E376" i="9"/>
  <c r="E378" i="9"/>
  <c r="E291" i="9"/>
  <c r="E295" i="9"/>
  <c r="E297" i="9"/>
  <c r="E301" i="9"/>
  <c r="E303" i="9"/>
  <c r="E355" i="9"/>
  <c r="E357" i="9"/>
  <c r="E359" i="9"/>
  <c r="E314" i="9"/>
  <c r="E319" i="9"/>
  <c r="E323" i="9"/>
  <c r="E367" i="9"/>
  <c r="E371" i="9"/>
  <c r="E373" i="9"/>
  <c r="E375" i="9"/>
  <c r="E262" i="9"/>
  <c r="E266" i="9"/>
  <c r="E299" i="9"/>
  <c r="E320" i="9"/>
  <c r="E322" i="9"/>
  <c r="E244" i="9"/>
  <c r="E246" i="9"/>
  <c r="E248" i="9"/>
  <c r="E305" i="9"/>
  <c r="E307" i="9"/>
  <c r="E311" i="9"/>
  <c r="E315" i="9"/>
  <c r="E294" i="9"/>
  <c r="E296" i="9"/>
  <c r="E298" i="9"/>
  <c r="E336" i="9"/>
  <c r="E338" i="9"/>
  <c r="E342" i="9"/>
  <c r="E346" i="9"/>
  <c r="E361" i="9"/>
  <c r="E363" i="9"/>
  <c r="E377" i="9"/>
  <c r="E208" i="9"/>
  <c r="E223" i="9"/>
  <c r="C379" i="9"/>
  <c r="E349" i="9"/>
  <c r="E351" i="9"/>
  <c r="E365" i="9"/>
  <c r="E289" i="9"/>
  <c r="E293" i="9"/>
  <c r="E329" i="9"/>
  <c r="E331" i="9"/>
  <c r="E335" i="9"/>
  <c r="E339" i="9"/>
  <c r="E343" i="9"/>
  <c r="E345" i="9"/>
  <c r="E353" i="9"/>
  <c r="E369" i="9"/>
  <c r="E324" i="9"/>
  <c r="E326" i="9"/>
  <c r="E333" i="9"/>
  <c r="E340" i="9"/>
  <c r="C347" i="9"/>
  <c r="E321" i="9"/>
  <c r="E328" i="9"/>
  <c r="E330" i="9"/>
  <c r="E337" i="9"/>
  <c r="E344" i="9"/>
  <c r="D347" i="9"/>
  <c r="E318" i="9"/>
  <c r="E325" i="9"/>
  <c r="E332" i="9"/>
  <c r="E334" i="9"/>
  <c r="E341" i="9"/>
  <c r="E300" i="9"/>
  <c r="E302" i="9"/>
  <c r="E309" i="9"/>
  <c r="E286" i="9"/>
  <c r="E304" i="9"/>
  <c r="E306" i="9"/>
  <c r="E313" i="9"/>
  <c r="E288" i="9"/>
  <c r="C316" i="9"/>
  <c r="E287" i="9"/>
  <c r="E290" i="9"/>
  <c r="E292" i="9"/>
  <c r="E310" i="9"/>
  <c r="E312" i="9"/>
  <c r="E285" i="9"/>
  <c r="E251" i="9"/>
  <c r="E237" i="9"/>
  <c r="E239" i="9"/>
  <c r="E243" i="9"/>
  <c r="E247" i="9"/>
  <c r="E252" i="9"/>
  <c r="E255" i="9"/>
  <c r="E257" i="9"/>
  <c r="E259" i="9"/>
  <c r="E179" i="9"/>
  <c r="E270" i="9"/>
  <c r="E272" i="9"/>
  <c r="E276" i="9"/>
  <c r="E280" i="9"/>
  <c r="E282" i="9"/>
  <c r="E157" i="9"/>
  <c r="E209" i="9"/>
  <c r="E230" i="9"/>
  <c r="E256" i="9"/>
  <c r="E261" i="9"/>
  <c r="E194" i="9"/>
  <c r="D284" i="9"/>
  <c r="E260" i="9"/>
  <c r="E275" i="9"/>
  <c r="E279" i="9"/>
  <c r="E283" i="9"/>
  <c r="E263" i="9"/>
  <c r="E265" i="9"/>
  <c r="E274" i="9"/>
  <c r="E258" i="9"/>
  <c r="E264" i="9"/>
  <c r="E267" i="9"/>
  <c r="E271" i="9"/>
  <c r="E273" i="9"/>
  <c r="E278" i="9"/>
  <c r="C284" i="9"/>
  <c r="E268" i="9"/>
  <c r="E277" i="9"/>
  <c r="E281" i="9"/>
  <c r="E241" i="9"/>
  <c r="E238" i="9"/>
  <c r="E245" i="9"/>
  <c r="E240" i="9"/>
  <c r="E242" i="9"/>
  <c r="E250" i="9"/>
  <c r="E201" i="9"/>
  <c r="E215" i="9"/>
  <c r="E186" i="9"/>
  <c r="E165" i="9"/>
  <c r="E172" i="9"/>
  <c r="E137" i="9"/>
  <c r="E139" i="9"/>
  <c r="E141" i="9"/>
  <c r="E143" i="9"/>
  <c r="E136" i="9"/>
  <c r="E138" i="9"/>
  <c r="E142" i="9"/>
  <c r="E150" i="9"/>
  <c r="E156" i="9"/>
  <c r="E159" i="9"/>
  <c r="E129" i="9"/>
  <c r="J10" i="7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N2509" i="2"/>
  <c r="M2509" i="2"/>
  <c r="M2507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N2481" i="2"/>
  <c r="M2481" i="2"/>
  <c r="M2480" i="2"/>
  <c r="M2479" i="2"/>
  <c r="M2478" i="2"/>
  <c r="M2477" i="2"/>
  <c r="M2476" i="2"/>
  <c r="M2475" i="2"/>
  <c r="M2474" i="2"/>
  <c r="M2473" i="2"/>
  <c r="M2472" i="2"/>
  <c r="N2471" i="2"/>
  <c r="M2471" i="2"/>
  <c r="M2470" i="2"/>
  <c r="M2469" i="2"/>
  <c r="M2468" i="2"/>
  <c r="M2467" i="2"/>
  <c r="M2466" i="2"/>
  <c r="M2465" i="2"/>
  <c r="N2464" i="2"/>
  <c r="M2464" i="2"/>
  <c r="M2463" i="2"/>
  <c r="M2462" i="2"/>
  <c r="M2460" i="2"/>
  <c r="M2459" i="2"/>
  <c r="N2458" i="2"/>
  <c r="M2458" i="2"/>
  <c r="M2457" i="2"/>
  <c r="M2455" i="2"/>
  <c r="M2454" i="2"/>
  <c r="M2453" i="2"/>
  <c r="M2452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4" i="2"/>
  <c r="M2433" i="2"/>
  <c r="M2432" i="2"/>
  <c r="M2431" i="2"/>
  <c r="M2429" i="2"/>
  <c r="M2428" i="2"/>
  <c r="M2427" i="2"/>
  <c r="M2425" i="2"/>
  <c r="M2424" i="2"/>
  <c r="M2423" i="2"/>
  <c r="M2422" i="2"/>
  <c r="M2418" i="2"/>
  <c r="M2417" i="2"/>
  <c r="M2416" i="2"/>
  <c r="M2415" i="2"/>
  <c r="M2414" i="2"/>
  <c r="M2413" i="2"/>
  <c r="M2412" i="2"/>
  <c r="M2411" i="2"/>
  <c r="M2410" i="2"/>
  <c r="M2409" i="2"/>
  <c r="M2408" i="2"/>
  <c r="N2407" i="2"/>
  <c r="M2407" i="2"/>
  <c r="N2406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N2380" i="2"/>
  <c r="M2380" i="2"/>
  <c r="N2379" i="2"/>
  <c r="M2379" i="2"/>
  <c r="M2378" i="2"/>
  <c r="M2377" i="2"/>
  <c r="N2375" i="2"/>
  <c r="M2375" i="2"/>
  <c r="N2374" i="2"/>
  <c r="M2374" i="2"/>
  <c r="M2373" i="2"/>
  <c r="M2372" i="2"/>
  <c r="M2371" i="2"/>
  <c r="M2370" i="2"/>
  <c r="M2369" i="2"/>
  <c r="M2368" i="2"/>
  <c r="M2367" i="2"/>
  <c r="N2364" i="2"/>
  <c r="M2364" i="2"/>
  <c r="M2363" i="2"/>
  <c r="M2362" i="2"/>
  <c r="M2361" i="2"/>
  <c r="M2360" i="2"/>
  <c r="M2359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N2338" i="2"/>
  <c r="M2338" i="2"/>
  <c r="M2337" i="2"/>
  <c r="N2336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N2323" i="2"/>
  <c r="M2323" i="2"/>
  <c r="M2322" i="2"/>
  <c r="M2321" i="2"/>
  <c r="M2320" i="2"/>
  <c r="M2319" i="2"/>
  <c r="M2318" i="2"/>
  <c r="M2317" i="2"/>
  <c r="M2316" i="2"/>
  <c r="M2315" i="2"/>
  <c r="M2314" i="2"/>
  <c r="N2313" i="2"/>
  <c r="M2313" i="2"/>
  <c r="N2312" i="2"/>
  <c r="M2312" i="2"/>
  <c r="M2311" i="2"/>
  <c r="M2310" i="2"/>
  <c r="M2309" i="2"/>
  <c r="M2308" i="2"/>
  <c r="M2307" i="2"/>
  <c r="M2306" i="2"/>
  <c r="M2305" i="2"/>
  <c r="M2304" i="2"/>
  <c r="M2302" i="2"/>
  <c r="M2301" i="2"/>
  <c r="M2300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2" i="2"/>
  <c r="N2261" i="2"/>
  <c r="M2261" i="2"/>
  <c r="M2260" i="2"/>
  <c r="N2259" i="2"/>
  <c r="M2259" i="2"/>
  <c r="M2256" i="2"/>
  <c r="N2255" i="2"/>
  <c r="M2255" i="2"/>
  <c r="M2254" i="2"/>
  <c r="M2253" i="2"/>
  <c r="M2252" i="2"/>
  <c r="M2251" i="2"/>
  <c r="M2250" i="2"/>
  <c r="M2249" i="2"/>
  <c r="M2248" i="2"/>
  <c r="M2247" i="2"/>
  <c r="M2245" i="2"/>
  <c r="M2244" i="2"/>
  <c r="M2243" i="2"/>
  <c r="M2242" i="2"/>
  <c r="M2241" i="2"/>
  <c r="M2240" i="2"/>
  <c r="N2239" i="2"/>
  <c r="M2239" i="2"/>
  <c r="M2238" i="2"/>
  <c r="M2237" i="2"/>
  <c r="M2236" i="2"/>
  <c r="M2235" i="2"/>
  <c r="M2234" i="2"/>
  <c r="M2232" i="2"/>
  <c r="M2231" i="2"/>
  <c r="M2230" i="2"/>
  <c r="M2229" i="2"/>
  <c r="M2228" i="2"/>
  <c r="N2227" i="2"/>
  <c r="M2227" i="2"/>
  <c r="N2226" i="2"/>
  <c r="M2226" i="2"/>
  <c r="N2225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3" i="2"/>
  <c r="M2182" i="2"/>
  <c r="M2181" i="2"/>
  <c r="M2180" i="2"/>
  <c r="M2179" i="2"/>
  <c r="M2178" i="2"/>
  <c r="M2177" i="2"/>
  <c r="M2176" i="2"/>
  <c r="M2175" i="2"/>
  <c r="N2173" i="2"/>
  <c r="M2173" i="2"/>
  <c r="M2172" i="2"/>
  <c r="M2171" i="2"/>
  <c r="M2170" i="2"/>
  <c r="N2169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N2157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4" i="2"/>
  <c r="M2143" i="2"/>
  <c r="M2141" i="2"/>
  <c r="M2140" i="2"/>
  <c r="M2139" i="2"/>
  <c r="M2138" i="2"/>
  <c r="M2137" i="2"/>
  <c r="M2136" i="2"/>
  <c r="M2135" i="2"/>
  <c r="M2134" i="2"/>
  <c r="M2133" i="2"/>
  <c r="M2132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8" i="2"/>
  <c r="M2107" i="2"/>
  <c r="M2106" i="2"/>
  <c r="M2105" i="2"/>
  <c r="M2104" i="2"/>
  <c r="M2103" i="2"/>
  <c r="M2102" i="2"/>
  <c r="M2101" i="2"/>
  <c r="M2100" i="2"/>
  <c r="N2099" i="2"/>
  <c r="M2099" i="2"/>
  <c r="M2098" i="2"/>
  <c r="M2097" i="2"/>
  <c r="N2096" i="2"/>
  <c r="M2096" i="2"/>
  <c r="M2095" i="2"/>
  <c r="M2094" i="2"/>
  <c r="M2093" i="2"/>
  <c r="M2092" i="2"/>
  <c r="N2090" i="2"/>
  <c r="M2090" i="2"/>
  <c r="M2089" i="2"/>
  <c r="M2087" i="2"/>
  <c r="M2086" i="2"/>
  <c r="M2085" i="2"/>
  <c r="M2084" i="2"/>
  <c r="M2083" i="2"/>
  <c r="M2082" i="2"/>
  <c r="M2081" i="2"/>
  <c r="M2080" i="2"/>
  <c r="M2079" i="2"/>
  <c r="N2077" i="2"/>
  <c r="M2077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58" i="2"/>
  <c r="M2057" i="2"/>
  <c r="M2056" i="2"/>
  <c r="M2055" i="2"/>
  <c r="M2054" i="2"/>
  <c r="M2053" i="2"/>
  <c r="M2052" i="2"/>
  <c r="M2051" i="2"/>
  <c r="M2050" i="2"/>
  <c r="N2049" i="2"/>
  <c r="M2049" i="2"/>
  <c r="M2048" i="2"/>
  <c r="M2047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2" i="2"/>
  <c r="M2021" i="2"/>
  <c r="M2020" i="2"/>
  <c r="M2019" i="2"/>
  <c r="N2018" i="2"/>
  <c r="M2018" i="2"/>
  <c r="M2017" i="2"/>
  <c r="M2016" i="2"/>
  <c r="M2015" i="2"/>
  <c r="M2014" i="2"/>
  <c r="M2013" i="2"/>
  <c r="N2010" i="2"/>
  <c r="M2010" i="2"/>
  <c r="M2009" i="2"/>
  <c r="N2008" i="2"/>
  <c r="M2008" i="2"/>
  <c r="M2007" i="2"/>
  <c r="M2006" i="2"/>
  <c r="M2005" i="2"/>
  <c r="N2004" i="2"/>
  <c r="M2004" i="2"/>
  <c r="M2003" i="2"/>
  <c r="N2002" i="2"/>
  <c r="M2002" i="2"/>
  <c r="N2001" i="2"/>
  <c r="M2001" i="2"/>
  <c r="M2000" i="2"/>
  <c r="M1998" i="2"/>
  <c r="M1997" i="2"/>
  <c r="M1996" i="2"/>
  <c r="M1995" i="2"/>
  <c r="N1994" i="2"/>
  <c r="M1994" i="2"/>
  <c r="M1993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7" i="2"/>
  <c r="M1956" i="2"/>
  <c r="M1955" i="2"/>
  <c r="M1953" i="2"/>
  <c r="M1952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N1928" i="2"/>
  <c r="M1928" i="2"/>
  <c r="N1927" i="2"/>
  <c r="M1927" i="2"/>
  <c r="M1926" i="2"/>
  <c r="M1925" i="2"/>
  <c r="M1924" i="2"/>
  <c r="M1921" i="2"/>
  <c r="M1920" i="2"/>
  <c r="M1919" i="2"/>
  <c r="M1918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N1900" i="2"/>
  <c r="M1900" i="2"/>
  <c r="N1899" i="2"/>
  <c r="M1899" i="2"/>
  <c r="M1898" i="2"/>
  <c r="M1897" i="2"/>
  <c r="N1896" i="2"/>
  <c r="M1896" i="2"/>
  <c r="N1895" i="2"/>
  <c r="M1895" i="2"/>
  <c r="M1894" i="2"/>
  <c r="M1893" i="2"/>
  <c r="M1892" i="2"/>
  <c r="M1891" i="2"/>
  <c r="M1890" i="2"/>
  <c r="M1889" i="2"/>
  <c r="M1887" i="2"/>
  <c r="M1883" i="2"/>
  <c r="M1882" i="2"/>
  <c r="M1881" i="2"/>
  <c r="M1880" i="2"/>
  <c r="M1879" i="2"/>
  <c r="M1878" i="2"/>
  <c r="M1875" i="2"/>
  <c r="M1874" i="2"/>
  <c r="M1873" i="2"/>
  <c r="N1871" i="2"/>
  <c r="M1871" i="2"/>
  <c r="M1869" i="2"/>
  <c r="N1868" i="2"/>
  <c r="M1868" i="2"/>
  <c r="M1867" i="2"/>
  <c r="M1864" i="2"/>
  <c r="M1863" i="2"/>
  <c r="M1861" i="2"/>
  <c r="M1860" i="2"/>
  <c r="M1859" i="2"/>
  <c r="M1856" i="2"/>
  <c r="N1855" i="2"/>
  <c r="M1855" i="2"/>
  <c r="N1854" i="2"/>
  <c r="M1854" i="2"/>
  <c r="M1853" i="2"/>
  <c r="M1852" i="2"/>
  <c r="M1851" i="2"/>
  <c r="M1850" i="2"/>
  <c r="M1848" i="2"/>
  <c r="M1847" i="2"/>
  <c r="M1846" i="2"/>
  <c r="N1845" i="2"/>
  <c r="M1845" i="2"/>
  <c r="M1844" i="2"/>
  <c r="M1843" i="2"/>
  <c r="M1842" i="2"/>
  <c r="M1840" i="2"/>
  <c r="M1839" i="2"/>
  <c r="N1837" i="2"/>
  <c r="M1837" i="2"/>
  <c r="M1835" i="2"/>
  <c r="N1834" i="2"/>
  <c r="M1834" i="2"/>
  <c r="N1833" i="2"/>
  <c r="M1833" i="2"/>
  <c r="M1832" i="2"/>
  <c r="M1831" i="2"/>
  <c r="M1830" i="2"/>
  <c r="M1829" i="2"/>
  <c r="M1827" i="2"/>
  <c r="M1826" i="2"/>
  <c r="M1825" i="2"/>
  <c r="M1823" i="2"/>
  <c r="M1822" i="2"/>
  <c r="N1821" i="2"/>
  <c r="M1821" i="2"/>
  <c r="M1820" i="2"/>
  <c r="M1819" i="2"/>
  <c r="N1818" i="2"/>
  <c r="M1818" i="2"/>
  <c r="M1817" i="2"/>
  <c r="N1816" i="2"/>
  <c r="M1816" i="2"/>
  <c r="M1815" i="2"/>
  <c r="M1813" i="2"/>
  <c r="M1812" i="2"/>
  <c r="M1811" i="2"/>
  <c r="M1810" i="2"/>
  <c r="M1809" i="2"/>
  <c r="M1806" i="2"/>
  <c r="M1805" i="2"/>
  <c r="N1804" i="2"/>
  <c r="M1804" i="2"/>
  <c r="M1803" i="2"/>
  <c r="M1802" i="2"/>
  <c r="M1801" i="2"/>
  <c r="M1800" i="2"/>
  <c r="M1797" i="2"/>
  <c r="M1785" i="2"/>
  <c r="M1787" i="2"/>
  <c r="M1788" i="2"/>
  <c r="M1789" i="2"/>
  <c r="M1790" i="2"/>
  <c r="M1791" i="2"/>
  <c r="M1792" i="2"/>
  <c r="M1793" i="2"/>
  <c r="M1794" i="2"/>
  <c r="M1795" i="2"/>
  <c r="M1796" i="2"/>
  <c r="M1764" i="2"/>
  <c r="M1765" i="2"/>
  <c r="N1765" i="2"/>
  <c r="M1766" i="2"/>
  <c r="N1766" i="2"/>
  <c r="M1767" i="2"/>
  <c r="N1767" i="2"/>
  <c r="M1768" i="2"/>
  <c r="M1770" i="2"/>
  <c r="M1771" i="2"/>
  <c r="N1771" i="2"/>
  <c r="M1772" i="2"/>
  <c r="M1773" i="2"/>
  <c r="M1774" i="2"/>
  <c r="M1775" i="2"/>
  <c r="N1775" i="2"/>
  <c r="M1776" i="2"/>
  <c r="M1777" i="2"/>
  <c r="M1779" i="2"/>
  <c r="N1779" i="2"/>
  <c r="M1780" i="2"/>
  <c r="M1781" i="2"/>
  <c r="M1782" i="2"/>
  <c r="M1783" i="2"/>
  <c r="M1784" i="2"/>
  <c r="M1746" i="2"/>
  <c r="M1747" i="2"/>
  <c r="M1748" i="2"/>
  <c r="M1749" i="2"/>
  <c r="M1752" i="2"/>
  <c r="M1753" i="2"/>
  <c r="M1754" i="2"/>
  <c r="M1756" i="2"/>
  <c r="M1757" i="2"/>
  <c r="M1758" i="2"/>
  <c r="M1759" i="2"/>
  <c r="M1761" i="2"/>
  <c r="M1762" i="2"/>
  <c r="M1763" i="2"/>
  <c r="M1732" i="2"/>
  <c r="N1732" i="2"/>
  <c r="M1733" i="2"/>
  <c r="M1734" i="2"/>
  <c r="M1735" i="2"/>
  <c r="M1737" i="2"/>
  <c r="M1738" i="2"/>
  <c r="M1739" i="2"/>
  <c r="M1740" i="2"/>
  <c r="M1742" i="2"/>
  <c r="M1743" i="2"/>
  <c r="M1744" i="2"/>
  <c r="M1745" i="2"/>
  <c r="N1745" i="2"/>
  <c r="M1714" i="2"/>
  <c r="M1715" i="2"/>
  <c r="M1716" i="2"/>
  <c r="M1717" i="2"/>
  <c r="M1720" i="2"/>
  <c r="M1722" i="2"/>
  <c r="M1723" i="2"/>
  <c r="M1724" i="2"/>
  <c r="M1725" i="2"/>
  <c r="M1726" i="2"/>
  <c r="N1726" i="2"/>
  <c r="M1727" i="2"/>
  <c r="M1728" i="2"/>
  <c r="M1729" i="2"/>
  <c r="M1730" i="2"/>
  <c r="M1700" i="2"/>
  <c r="M1701" i="2"/>
  <c r="M1702" i="2"/>
  <c r="M1704" i="2"/>
  <c r="M1706" i="2"/>
  <c r="M1709" i="2"/>
  <c r="M1711" i="2"/>
  <c r="M1712" i="2"/>
  <c r="M1713" i="2"/>
  <c r="N1713" i="2"/>
  <c r="M1682" i="2"/>
  <c r="M1683" i="2"/>
  <c r="N1683" i="2"/>
  <c r="M1684" i="2"/>
  <c r="M1685" i="2"/>
  <c r="M1686" i="2"/>
  <c r="N1686" i="2"/>
  <c r="M1689" i="2"/>
  <c r="M1694" i="2"/>
  <c r="M1695" i="2"/>
  <c r="M1696" i="2"/>
  <c r="M1697" i="2"/>
  <c r="M1698" i="2"/>
  <c r="M1674" i="2"/>
  <c r="M1675" i="2"/>
  <c r="M1677" i="2"/>
  <c r="M1678" i="2"/>
  <c r="N1678" i="2"/>
  <c r="M1679" i="2"/>
  <c r="M1681" i="2"/>
  <c r="M1670" i="2"/>
  <c r="M1671" i="2"/>
  <c r="M1672" i="2"/>
  <c r="M1673" i="2"/>
  <c r="D45" i="7" l="1"/>
  <c r="N2646" i="2"/>
  <c r="D232" i="9" s="1"/>
  <c r="E232" i="9" s="1"/>
  <c r="N2675" i="2"/>
  <c r="D235" i="9" s="1"/>
  <c r="E235" i="9" s="1"/>
  <c r="E234" i="9"/>
  <c r="N2527" i="2"/>
  <c r="N2537" i="2"/>
  <c r="C222" i="9"/>
  <c r="E227" i="9"/>
  <c r="N2622" i="2"/>
  <c r="D231" i="9" s="1"/>
  <c r="E231" i="9" s="1"/>
  <c r="E226" i="9"/>
  <c r="D44" i="7"/>
  <c r="N2543" i="2"/>
  <c r="N2530" i="2"/>
  <c r="E225" i="9"/>
  <c r="E228" i="9"/>
  <c r="N2551" i="2"/>
  <c r="N2594" i="2"/>
  <c r="D229" i="9" s="1"/>
  <c r="E229" i="9" s="1"/>
  <c r="C236" i="9"/>
  <c r="N2683" i="2"/>
  <c r="D236" i="9" s="1"/>
  <c r="N2653" i="2"/>
  <c r="D233" i="9" s="1"/>
  <c r="E233" i="9" s="1"/>
  <c r="D46" i="7"/>
  <c r="E379" i="9"/>
  <c r="E316" i="9"/>
  <c r="E347" i="9"/>
  <c r="E284" i="9"/>
  <c r="M1589" i="2"/>
  <c r="L486" i="1"/>
  <c r="J490" i="1"/>
  <c r="J489" i="1"/>
  <c r="J488" i="1"/>
  <c r="J487" i="1"/>
  <c r="J486" i="1"/>
  <c r="L475" i="1"/>
  <c r="J475" i="1"/>
  <c r="J585" i="1"/>
  <c r="L585" i="1"/>
  <c r="J485" i="1"/>
  <c r="L485" i="1"/>
  <c r="L455" i="1"/>
  <c r="J455" i="1"/>
  <c r="L587" i="1"/>
  <c r="L586" i="1"/>
  <c r="J587" i="1"/>
  <c r="J586" i="1"/>
  <c r="L579" i="1"/>
  <c r="J579" i="1"/>
  <c r="L533" i="1"/>
  <c r="L532" i="1"/>
  <c r="J533" i="1"/>
  <c r="J532" i="1"/>
  <c r="L510" i="1"/>
  <c r="J510" i="1"/>
  <c r="L538" i="1"/>
  <c r="J538" i="1"/>
  <c r="L454" i="1"/>
  <c r="L453" i="1"/>
  <c r="L452" i="1"/>
  <c r="L451" i="1"/>
  <c r="J454" i="1"/>
  <c r="J453" i="1"/>
  <c r="J452" i="1"/>
  <c r="M452" i="1" s="1"/>
  <c r="J451" i="1"/>
  <c r="L474" i="1"/>
  <c r="L473" i="1"/>
  <c r="L472" i="1"/>
  <c r="L471" i="1"/>
  <c r="L470" i="1"/>
  <c r="L469" i="1"/>
  <c r="J474" i="1"/>
  <c r="J473" i="1"/>
  <c r="J472" i="1"/>
  <c r="J471" i="1"/>
  <c r="J470" i="1"/>
  <c r="J469" i="1"/>
  <c r="L514" i="1"/>
  <c r="L513" i="1"/>
  <c r="L512" i="1"/>
  <c r="L511" i="1"/>
  <c r="J514" i="1"/>
  <c r="J513" i="1"/>
  <c r="J512" i="1"/>
  <c r="J511" i="1"/>
  <c r="L491" i="1"/>
  <c r="L492" i="1"/>
  <c r="L493" i="1"/>
  <c r="L494" i="1"/>
  <c r="L495" i="1"/>
  <c r="L496" i="1"/>
  <c r="L497" i="1"/>
  <c r="L498" i="1"/>
  <c r="L499" i="1"/>
  <c r="L500" i="1"/>
  <c r="L501" i="1"/>
  <c r="J491" i="1"/>
  <c r="J492" i="1"/>
  <c r="J493" i="1"/>
  <c r="J494" i="1"/>
  <c r="J495" i="1"/>
  <c r="J496" i="1"/>
  <c r="J497" i="1"/>
  <c r="J498" i="1"/>
  <c r="J499" i="1"/>
  <c r="J500" i="1"/>
  <c r="J501" i="1"/>
  <c r="L537" i="1"/>
  <c r="L536" i="1"/>
  <c r="J537" i="1"/>
  <c r="J536" i="1"/>
  <c r="L527" i="1"/>
  <c r="L528" i="1"/>
  <c r="L529" i="1"/>
  <c r="L530" i="1"/>
  <c r="L531" i="1"/>
  <c r="L535" i="1"/>
  <c r="L534" i="1"/>
  <c r="L550" i="1"/>
  <c r="L549" i="1"/>
  <c r="L548" i="1"/>
  <c r="J531" i="1"/>
  <c r="J530" i="1"/>
  <c r="J529" i="1"/>
  <c r="J528" i="1"/>
  <c r="J527" i="1"/>
  <c r="J535" i="1"/>
  <c r="J534" i="1"/>
  <c r="J550" i="1"/>
  <c r="J549" i="1"/>
  <c r="J548" i="1"/>
  <c r="L569" i="1"/>
  <c r="L568" i="1"/>
  <c r="L567" i="1"/>
  <c r="L566" i="1"/>
  <c r="L565" i="1"/>
  <c r="L564" i="1"/>
  <c r="L563" i="1"/>
  <c r="L562" i="1"/>
  <c r="L561" i="1"/>
  <c r="J568" i="1"/>
  <c r="J569" i="1"/>
  <c r="J567" i="1"/>
  <c r="J566" i="1"/>
  <c r="J565" i="1"/>
  <c r="J564" i="1"/>
  <c r="J563" i="1"/>
  <c r="J562" i="1"/>
  <c r="J561" i="1"/>
  <c r="L580" i="1"/>
  <c r="L581" i="1"/>
  <c r="L582" i="1"/>
  <c r="L583" i="1"/>
  <c r="L584" i="1"/>
  <c r="J580" i="1"/>
  <c r="J581" i="1"/>
  <c r="J582" i="1"/>
  <c r="J583" i="1"/>
  <c r="J584" i="1"/>
  <c r="E44" i="7" l="1"/>
  <c r="D222" i="9"/>
  <c r="E222" i="9" s="1"/>
  <c r="E46" i="7"/>
  <c r="C253" i="9"/>
  <c r="M512" i="1"/>
  <c r="D50" i="7"/>
  <c r="E236" i="9"/>
  <c r="D224" i="9"/>
  <c r="E224" i="9" s="1"/>
  <c r="E45" i="7"/>
  <c r="M492" i="1"/>
  <c r="M510" i="1"/>
  <c r="M579" i="1"/>
  <c r="M532" i="1"/>
  <c r="M583" i="1"/>
  <c r="M564" i="1"/>
  <c r="M498" i="1"/>
  <c r="M473" i="1"/>
  <c r="M569" i="1"/>
  <c r="M472" i="1"/>
  <c r="M563" i="1"/>
  <c r="M567" i="1"/>
  <c r="M534" i="1"/>
  <c r="M537" i="1"/>
  <c r="M499" i="1"/>
  <c r="M561" i="1"/>
  <c r="M565" i="1"/>
  <c r="M536" i="1"/>
  <c r="M587" i="1"/>
  <c r="M581" i="1"/>
  <c r="M454" i="1"/>
  <c r="M582" i="1"/>
  <c r="M528" i="1"/>
  <c r="M562" i="1"/>
  <c r="M549" i="1"/>
  <c r="M527" i="1"/>
  <c r="M469" i="1"/>
  <c r="M455" i="1"/>
  <c r="M566" i="1"/>
  <c r="M535" i="1"/>
  <c r="M550" i="1"/>
  <c r="M530" i="1"/>
  <c r="M514" i="1"/>
  <c r="M470" i="1"/>
  <c r="M453" i="1"/>
  <c r="M586" i="1"/>
  <c r="M475" i="1"/>
  <c r="M486" i="1"/>
  <c r="M496" i="1"/>
  <c r="M584" i="1"/>
  <c r="M568" i="1"/>
  <c r="M529" i="1"/>
  <c r="M495" i="1"/>
  <c r="M471" i="1"/>
  <c r="M485" i="1"/>
  <c r="M548" i="1"/>
  <c r="M531" i="1"/>
  <c r="M501" i="1"/>
  <c r="M494" i="1"/>
  <c r="M491" i="1"/>
  <c r="M513" i="1"/>
  <c r="M474" i="1"/>
  <c r="M538" i="1"/>
  <c r="M533" i="1"/>
  <c r="M585" i="1"/>
  <c r="M580" i="1"/>
  <c r="M500" i="1"/>
  <c r="M497" i="1"/>
  <c r="M493" i="1"/>
  <c r="M511" i="1"/>
  <c r="M451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J457" i="1"/>
  <c r="J458" i="1"/>
  <c r="J459" i="1"/>
  <c r="J460" i="1"/>
  <c r="J461" i="1"/>
  <c r="J462" i="1"/>
  <c r="M462" i="1" s="1"/>
  <c r="J463" i="1"/>
  <c r="J464" i="1"/>
  <c r="J465" i="1"/>
  <c r="J466" i="1"/>
  <c r="J467" i="1"/>
  <c r="J468" i="1"/>
  <c r="J456" i="1"/>
  <c r="L477" i="1"/>
  <c r="L478" i="1"/>
  <c r="L479" i="1"/>
  <c r="L480" i="1"/>
  <c r="L481" i="1"/>
  <c r="L482" i="1"/>
  <c r="L483" i="1"/>
  <c r="L484" i="1"/>
  <c r="L476" i="1"/>
  <c r="J477" i="1"/>
  <c r="J478" i="1"/>
  <c r="J479" i="1"/>
  <c r="J480" i="1"/>
  <c r="J481" i="1"/>
  <c r="J482" i="1"/>
  <c r="J483" i="1"/>
  <c r="J484" i="1"/>
  <c r="J476" i="1"/>
  <c r="L509" i="1"/>
  <c r="L508" i="1"/>
  <c r="L507" i="1"/>
  <c r="L506" i="1"/>
  <c r="L505" i="1"/>
  <c r="L504" i="1"/>
  <c r="L503" i="1"/>
  <c r="L502" i="1"/>
  <c r="J509" i="1"/>
  <c r="J508" i="1"/>
  <c r="J507" i="1"/>
  <c r="J506" i="1"/>
  <c r="J505" i="1"/>
  <c r="J504" i="1"/>
  <c r="J503" i="1"/>
  <c r="M503" i="1" s="1"/>
  <c r="J502" i="1"/>
  <c r="M502" i="1" s="1"/>
  <c r="L526" i="1"/>
  <c r="L525" i="1"/>
  <c r="L524" i="1"/>
  <c r="L523" i="1"/>
  <c r="L522" i="1"/>
  <c r="L521" i="1"/>
  <c r="L520" i="1"/>
  <c r="L519" i="1"/>
  <c r="L518" i="1"/>
  <c r="L517" i="1"/>
  <c r="L516" i="1"/>
  <c r="L515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L547" i="1"/>
  <c r="L546" i="1"/>
  <c r="J547" i="1"/>
  <c r="J546" i="1"/>
  <c r="L545" i="1"/>
  <c r="L544" i="1"/>
  <c r="L543" i="1"/>
  <c r="L542" i="1"/>
  <c r="L541" i="1"/>
  <c r="L540" i="1"/>
  <c r="L539" i="1"/>
  <c r="J545" i="1"/>
  <c r="J544" i="1"/>
  <c r="J543" i="1"/>
  <c r="J542" i="1"/>
  <c r="J541" i="1"/>
  <c r="J540" i="1"/>
  <c r="J539" i="1"/>
  <c r="L575" i="1"/>
  <c r="L574" i="1"/>
  <c r="L573" i="1"/>
  <c r="L572" i="1"/>
  <c r="L571" i="1"/>
  <c r="L570" i="1"/>
  <c r="J575" i="1"/>
  <c r="J574" i="1"/>
  <c r="J573" i="1"/>
  <c r="J572" i="1"/>
  <c r="J571" i="1"/>
  <c r="J570" i="1"/>
  <c r="L560" i="1"/>
  <c r="L559" i="1"/>
  <c r="J560" i="1"/>
  <c r="J559" i="1"/>
  <c r="L551" i="1"/>
  <c r="L552" i="1"/>
  <c r="L553" i="1"/>
  <c r="L554" i="1"/>
  <c r="L555" i="1"/>
  <c r="L556" i="1"/>
  <c r="L557" i="1"/>
  <c r="L558" i="1"/>
  <c r="J551" i="1"/>
  <c r="J552" i="1"/>
  <c r="J553" i="1"/>
  <c r="J554" i="1"/>
  <c r="M554" i="1" s="1"/>
  <c r="J555" i="1"/>
  <c r="J556" i="1"/>
  <c r="J557" i="1"/>
  <c r="J558" i="1"/>
  <c r="L578" i="1"/>
  <c r="L577" i="1"/>
  <c r="L576" i="1"/>
  <c r="J576" i="1"/>
  <c r="J577" i="1"/>
  <c r="J578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L611" i="1"/>
  <c r="J611" i="1"/>
  <c r="L603" i="1"/>
  <c r="L604" i="1"/>
  <c r="L605" i="1"/>
  <c r="L606" i="1"/>
  <c r="L607" i="1"/>
  <c r="L608" i="1"/>
  <c r="L609" i="1"/>
  <c r="L610" i="1"/>
  <c r="L602" i="1"/>
  <c r="L601" i="1"/>
  <c r="J601" i="1"/>
  <c r="J602" i="1"/>
  <c r="J603" i="1"/>
  <c r="J604" i="1"/>
  <c r="J605" i="1"/>
  <c r="J606" i="1"/>
  <c r="J607" i="1"/>
  <c r="J608" i="1"/>
  <c r="J609" i="1"/>
  <c r="J610" i="1"/>
  <c r="M610" i="1" s="1"/>
  <c r="L600" i="1"/>
  <c r="J600" i="1"/>
  <c r="M558" i="1" l="1"/>
  <c r="M556" i="1"/>
  <c r="M517" i="1"/>
  <c r="D253" i="9"/>
  <c r="E253" i="9" s="1"/>
  <c r="M577" i="1"/>
  <c r="M601" i="1"/>
  <c r="M541" i="1"/>
  <c r="M539" i="1"/>
  <c r="M547" i="1"/>
  <c r="M594" i="1"/>
  <c r="M546" i="1"/>
  <c r="M484" i="1"/>
  <c r="M480" i="1"/>
  <c r="M611" i="1"/>
  <c r="M519" i="1"/>
  <c r="M576" i="1"/>
  <c r="M507" i="1"/>
  <c r="M468" i="1"/>
  <c r="M602" i="1"/>
  <c r="M572" i="1"/>
  <c r="M521" i="1"/>
  <c r="M504" i="1"/>
  <c r="M483" i="1"/>
  <c r="M479" i="1"/>
  <c r="M604" i="1"/>
  <c r="M543" i="1"/>
  <c r="M599" i="1"/>
  <c r="M609" i="1"/>
  <c r="M605" i="1"/>
  <c r="M590" i="1"/>
  <c r="M571" i="1"/>
  <c r="M482" i="1"/>
  <c r="M606" i="1"/>
  <c r="M589" i="1"/>
  <c r="M553" i="1"/>
  <c r="M575" i="1"/>
  <c r="M515" i="1"/>
  <c r="M508" i="1"/>
  <c r="M552" i="1"/>
  <c r="M542" i="1"/>
  <c r="M545" i="1"/>
  <c r="M509" i="1"/>
  <c r="M478" i="1"/>
  <c r="M607" i="1"/>
  <c r="M603" i="1"/>
  <c r="M591" i="1"/>
  <c r="M588" i="1"/>
  <c r="M592" i="1"/>
  <c r="M595" i="1"/>
  <c r="M526" i="1"/>
  <c r="M518" i="1"/>
  <c r="M476" i="1"/>
  <c r="M481" i="1"/>
  <c r="M477" i="1"/>
  <c r="M461" i="1"/>
  <c r="M459" i="1"/>
  <c r="M574" i="1"/>
  <c r="M465" i="1"/>
  <c r="M600" i="1"/>
  <c r="M593" i="1"/>
  <c r="M596" i="1"/>
  <c r="M578" i="1"/>
  <c r="M516" i="1"/>
  <c r="M525" i="1"/>
  <c r="M456" i="1"/>
  <c r="M460" i="1"/>
  <c r="M466" i="1"/>
  <c r="M540" i="1"/>
  <c r="M524" i="1"/>
  <c r="M597" i="1"/>
  <c r="M559" i="1"/>
  <c r="M570" i="1"/>
  <c r="M522" i="1"/>
  <c r="M505" i="1"/>
  <c r="M457" i="1"/>
  <c r="M463" i="1"/>
  <c r="M467" i="1"/>
  <c r="M608" i="1"/>
  <c r="M598" i="1"/>
  <c r="M560" i="1"/>
  <c r="M573" i="1"/>
  <c r="M544" i="1"/>
  <c r="M520" i="1"/>
  <c r="M523" i="1"/>
  <c r="M506" i="1"/>
  <c r="M458" i="1"/>
  <c r="M464" i="1"/>
  <c r="M557" i="1"/>
  <c r="M555" i="1"/>
  <c r="M551" i="1"/>
  <c r="E74" i="7"/>
  <c r="J13" i="7" s="1"/>
  <c r="D74" i="7"/>
  <c r="I13" i="7" s="1"/>
  <c r="F73" i="7"/>
  <c r="F72" i="7"/>
  <c r="F71" i="7"/>
  <c r="F70" i="7"/>
  <c r="F69" i="7"/>
  <c r="E68" i="7"/>
  <c r="D68" i="7"/>
  <c r="I12" i="7" s="1"/>
  <c r="F67" i="7"/>
  <c r="F66" i="7"/>
  <c r="F65" i="7"/>
  <c r="F64" i="7"/>
  <c r="F63" i="7"/>
  <c r="I2516" i="2"/>
  <c r="I2517" i="2"/>
  <c r="N2517" i="2" s="1"/>
  <c r="I2518" i="2"/>
  <c r="N2518" i="2" s="1"/>
  <c r="I2519" i="2"/>
  <c r="N2519" i="2" s="1"/>
  <c r="I2520" i="2"/>
  <c r="N2520" i="2" s="1"/>
  <c r="I2521" i="2"/>
  <c r="N2521" i="2" s="1"/>
  <c r="I2522" i="2"/>
  <c r="N2522" i="2" s="1"/>
  <c r="I2523" i="2"/>
  <c r="N2523" i="2" s="1"/>
  <c r="I2524" i="2"/>
  <c r="N2524" i="2" s="1"/>
  <c r="I2525" i="2"/>
  <c r="N2525" i="2" s="1"/>
  <c r="I2513" i="2"/>
  <c r="N2513" i="2" s="1"/>
  <c r="I2514" i="2"/>
  <c r="N2514" i="2" s="1"/>
  <c r="I2515" i="2"/>
  <c r="N2515" i="2" s="1"/>
  <c r="G2508" i="2"/>
  <c r="M2508" i="2" s="1"/>
  <c r="G2506" i="2"/>
  <c r="M2506" i="2" s="1"/>
  <c r="I2507" i="2"/>
  <c r="N2507" i="2" s="1"/>
  <c r="I2509" i="2"/>
  <c r="I2510" i="2"/>
  <c r="N2510" i="2" s="1"/>
  <c r="I2511" i="2"/>
  <c r="N2511" i="2" s="1"/>
  <c r="I2512" i="2"/>
  <c r="N2512" i="2" s="1"/>
  <c r="I2488" i="2"/>
  <c r="I2489" i="2"/>
  <c r="N2489" i="2" s="1"/>
  <c r="I2490" i="2"/>
  <c r="N2490" i="2" s="1"/>
  <c r="I2491" i="2"/>
  <c r="N2491" i="2" s="1"/>
  <c r="I2492" i="2"/>
  <c r="N2492" i="2" s="1"/>
  <c r="I2493" i="2"/>
  <c r="N2493" i="2" s="1"/>
  <c r="I2494" i="2"/>
  <c r="N2494" i="2" s="1"/>
  <c r="I2495" i="2"/>
  <c r="N2495" i="2" s="1"/>
  <c r="I2496" i="2"/>
  <c r="N2496" i="2" s="1"/>
  <c r="I2497" i="2"/>
  <c r="N2497" i="2" s="1"/>
  <c r="I2498" i="2"/>
  <c r="N2498" i="2" s="1"/>
  <c r="I2499" i="2"/>
  <c r="N2499" i="2" s="1"/>
  <c r="I2500" i="2"/>
  <c r="N2500" i="2" s="1"/>
  <c r="I2501" i="2"/>
  <c r="N2501" i="2" s="1"/>
  <c r="I2502" i="2"/>
  <c r="N2502" i="2" s="1"/>
  <c r="I2503" i="2"/>
  <c r="N2503" i="2" s="1"/>
  <c r="I2504" i="2"/>
  <c r="N2504" i="2" s="1"/>
  <c r="I2505" i="2"/>
  <c r="N2505" i="2" s="1"/>
  <c r="I2487" i="2"/>
  <c r="N2487" i="2" s="1"/>
  <c r="I2486" i="2"/>
  <c r="N2486" i="2" s="1"/>
  <c r="I2485" i="2"/>
  <c r="N2485" i="2" s="1"/>
  <c r="I2484" i="2"/>
  <c r="N2484" i="2" s="1"/>
  <c r="I2483" i="2"/>
  <c r="N2483" i="2" s="1"/>
  <c r="I2482" i="2"/>
  <c r="I2465" i="2"/>
  <c r="I2466" i="2"/>
  <c r="N2466" i="2" s="1"/>
  <c r="I2467" i="2"/>
  <c r="N2467" i="2" s="1"/>
  <c r="I2468" i="2"/>
  <c r="N2468" i="2" s="1"/>
  <c r="I2469" i="2"/>
  <c r="N2469" i="2" s="1"/>
  <c r="I2470" i="2"/>
  <c r="N2470" i="2" s="1"/>
  <c r="I2471" i="2"/>
  <c r="I2472" i="2"/>
  <c r="N2472" i="2" s="1"/>
  <c r="I2473" i="2"/>
  <c r="N2473" i="2" s="1"/>
  <c r="I2474" i="2"/>
  <c r="N2474" i="2" s="1"/>
  <c r="I2475" i="2"/>
  <c r="N2475" i="2" s="1"/>
  <c r="I2476" i="2"/>
  <c r="N2476" i="2" s="1"/>
  <c r="I2477" i="2"/>
  <c r="N2477" i="2" s="1"/>
  <c r="I2478" i="2"/>
  <c r="N2478" i="2" s="1"/>
  <c r="I2479" i="2"/>
  <c r="N2479" i="2" s="1"/>
  <c r="I2480" i="2"/>
  <c r="N2480" i="2" s="1"/>
  <c r="I2481" i="2"/>
  <c r="G2456" i="2"/>
  <c r="I2448" i="2"/>
  <c r="I2449" i="2"/>
  <c r="N2449" i="2" s="1"/>
  <c r="I2450" i="2"/>
  <c r="N2450" i="2" s="1"/>
  <c r="I2452" i="2"/>
  <c r="N2452" i="2" s="1"/>
  <c r="I2453" i="2"/>
  <c r="N2453" i="2" s="1"/>
  <c r="I2454" i="2"/>
  <c r="N2454" i="2" s="1"/>
  <c r="I2455" i="2"/>
  <c r="N2455" i="2" s="1"/>
  <c r="I2457" i="2"/>
  <c r="N2457" i="2" s="1"/>
  <c r="I2458" i="2"/>
  <c r="I2459" i="2"/>
  <c r="N2459" i="2" s="1"/>
  <c r="I2460" i="2"/>
  <c r="N2460" i="2" s="1"/>
  <c r="I2462" i="2"/>
  <c r="N2462" i="2" s="1"/>
  <c r="I2463" i="2"/>
  <c r="N2463" i="2" s="1"/>
  <c r="I2464" i="2"/>
  <c r="G2461" i="2"/>
  <c r="G2451" i="2"/>
  <c r="I2432" i="2"/>
  <c r="I2433" i="2"/>
  <c r="N2433" i="2" s="1"/>
  <c r="I2434" i="2"/>
  <c r="N2434" i="2" s="1"/>
  <c r="I2438" i="2"/>
  <c r="N2438" i="2" s="1"/>
  <c r="I2439" i="2"/>
  <c r="N2439" i="2" s="1"/>
  <c r="I2440" i="2"/>
  <c r="N2440" i="2" s="1"/>
  <c r="I2441" i="2"/>
  <c r="N2441" i="2" s="1"/>
  <c r="I2442" i="2"/>
  <c r="N2442" i="2" s="1"/>
  <c r="I2443" i="2"/>
  <c r="N2443" i="2" s="1"/>
  <c r="I2444" i="2"/>
  <c r="N2444" i="2" s="1"/>
  <c r="I2445" i="2"/>
  <c r="N2445" i="2" s="1"/>
  <c r="I2446" i="2"/>
  <c r="N2446" i="2" s="1"/>
  <c r="I2447" i="2"/>
  <c r="N2447" i="2" s="1"/>
  <c r="G2437" i="2"/>
  <c r="G2436" i="2"/>
  <c r="M2436" i="2" s="1"/>
  <c r="G2435" i="2"/>
  <c r="M2435" i="2" s="1"/>
  <c r="I2427" i="2"/>
  <c r="N2427" i="2" s="1"/>
  <c r="I2428" i="2"/>
  <c r="N2428" i="2" s="1"/>
  <c r="I2429" i="2"/>
  <c r="N2429" i="2" s="1"/>
  <c r="I2431" i="2"/>
  <c r="N2431" i="2" s="1"/>
  <c r="I2425" i="2"/>
  <c r="N2425" i="2" s="1"/>
  <c r="I2424" i="2"/>
  <c r="G2430" i="2"/>
  <c r="G2426" i="2"/>
  <c r="I2413" i="2"/>
  <c r="I2414" i="2"/>
  <c r="N2414" i="2" s="1"/>
  <c r="I2415" i="2"/>
  <c r="N2415" i="2" s="1"/>
  <c r="I2416" i="2"/>
  <c r="N2416" i="2" s="1"/>
  <c r="I2417" i="2"/>
  <c r="N2417" i="2" s="1"/>
  <c r="I2418" i="2"/>
  <c r="N2418" i="2" s="1"/>
  <c r="I2422" i="2"/>
  <c r="N2422" i="2" s="1"/>
  <c r="I2423" i="2"/>
  <c r="N2423" i="2" s="1"/>
  <c r="G2421" i="2"/>
  <c r="G2420" i="2"/>
  <c r="M2420" i="2" s="1"/>
  <c r="G2419" i="2"/>
  <c r="M2419" i="2" s="1"/>
  <c r="I2375" i="2"/>
  <c r="I2377" i="2"/>
  <c r="N2377" i="2" s="1"/>
  <c r="I2378" i="2"/>
  <c r="N2378" i="2" s="1"/>
  <c r="I2379" i="2"/>
  <c r="I2380" i="2"/>
  <c r="I2381" i="2"/>
  <c r="N2381" i="2" s="1"/>
  <c r="I2382" i="2"/>
  <c r="N2382" i="2" s="1"/>
  <c r="I2383" i="2"/>
  <c r="N2383" i="2" s="1"/>
  <c r="I2384" i="2"/>
  <c r="N2384" i="2" s="1"/>
  <c r="I2385" i="2"/>
  <c r="N2385" i="2" s="1"/>
  <c r="I2386" i="2"/>
  <c r="N2386" i="2" s="1"/>
  <c r="I2387" i="2"/>
  <c r="N2387" i="2" s="1"/>
  <c r="I2388" i="2"/>
  <c r="N2388" i="2" s="1"/>
  <c r="I2389" i="2"/>
  <c r="N2389" i="2" s="1"/>
  <c r="I2390" i="2"/>
  <c r="N2390" i="2" s="1"/>
  <c r="I2391" i="2"/>
  <c r="N2391" i="2" s="1"/>
  <c r="I2392" i="2"/>
  <c r="N2392" i="2" s="1"/>
  <c r="I2393" i="2"/>
  <c r="N2393" i="2" s="1"/>
  <c r="I2394" i="2"/>
  <c r="N2394" i="2" s="1"/>
  <c r="I2395" i="2"/>
  <c r="N2395" i="2" s="1"/>
  <c r="I2396" i="2"/>
  <c r="N2396" i="2" s="1"/>
  <c r="I2397" i="2"/>
  <c r="N2397" i="2" s="1"/>
  <c r="I2398" i="2"/>
  <c r="N2398" i="2" s="1"/>
  <c r="I2399" i="2"/>
  <c r="N2399" i="2" s="1"/>
  <c r="I2400" i="2"/>
  <c r="N2400" i="2" s="1"/>
  <c r="I2401" i="2"/>
  <c r="N2401" i="2" s="1"/>
  <c r="I2402" i="2"/>
  <c r="N2402" i="2" s="1"/>
  <c r="I2403" i="2"/>
  <c r="N2403" i="2" s="1"/>
  <c r="I2404" i="2"/>
  <c r="N2404" i="2" s="1"/>
  <c r="I2405" i="2"/>
  <c r="N2405" i="2" s="1"/>
  <c r="I2406" i="2"/>
  <c r="I2407" i="2"/>
  <c r="I2408" i="2"/>
  <c r="N2408" i="2" s="1"/>
  <c r="I2409" i="2"/>
  <c r="N2409" i="2" s="1"/>
  <c r="I2410" i="2"/>
  <c r="N2410" i="2" s="1"/>
  <c r="I2411" i="2"/>
  <c r="N2411" i="2" s="1"/>
  <c r="I2412" i="2"/>
  <c r="N2412" i="2" s="1"/>
  <c r="I2374" i="2"/>
  <c r="G2376" i="2"/>
  <c r="M2376" i="2" s="1"/>
  <c r="I2346" i="2"/>
  <c r="I2348" i="2"/>
  <c r="N2348" i="2" s="1"/>
  <c r="I2349" i="2"/>
  <c r="N2349" i="2" s="1"/>
  <c r="I2350" i="2"/>
  <c r="N2350" i="2" s="1"/>
  <c r="I2351" i="2"/>
  <c r="N2351" i="2" s="1"/>
  <c r="I2352" i="2"/>
  <c r="N2352" i="2" s="1"/>
  <c r="I2353" i="2"/>
  <c r="N2353" i="2" s="1"/>
  <c r="I2354" i="2"/>
  <c r="N2354" i="2" s="1"/>
  <c r="I2355" i="2"/>
  <c r="N2355" i="2" s="1"/>
  <c r="I2356" i="2"/>
  <c r="N2356" i="2" s="1"/>
  <c r="I2357" i="2"/>
  <c r="N2357" i="2" s="1"/>
  <c r="I2359" i="2"/>
  <c r="N2359" i="2" s="1"/>
  <c r="I2360" i="2"/>
  <c r="N2360" i="2" s="1"/>
  <c r="I2361" i="2"/>
  <c r="N2361" i="2" s="1"/>
  <c r="I2362" i="2"/>
  <c r="N2362" i="2" s="1"/>
  <c r="I2363" i="2"/>
  <c r="N2363" i="2" s="1"/>
  <c r="I2364" i="2"/>
  <c r="I2367" i="2"/>
  <c r="N2367" i="2" s="1"/>
  <c r="I2368" i="2"/>
  <c r="N2368" i="2" s="1"/>
  <c r="I2369" i="2"/>
  <c r="N2369" i="2" s="1"/>
  <c r="I2370" i="2"/>
  <c r="N2370" i="2" s="1"/>
  <c r="I2371" i="2"/>
  <c r="N2371" i="2" s="1"/>
  <c r="I2372" i="2"/>
  <c r="N2372" i="2" s="1"/>
  <c r="I2373" i="2"/>
  <c r="N2373" i="2" s="1"/>
  <c r="I2347" i="2"/>
  <c r="N2347" i="2" s="1"/>
  <c r="G2366" i="2"/>
  <c r="G2365" i="2"/>
  <c r="G2358" i="2"/>
  <c r="F49" i="7"/>
  <c r="I2508" i="2" l="1"/>
  <c r="N2508" i="2" s="1"/>
  <c r="I2506" i="2"/>
  <c r="N2506" i="2" s="1"/>
  <c r="D219" i="9" s="1"/>
  <c r="N2424" i="2"/>
  <c r="I2437" i="2"/>
  <c r="M2437" i="2"/>
  <c r="I2435" i="2"/>
  <c r="N2435" i="2" s="1"/>
  <c r="I2451" i="2"/>
  <c r="M2451" i="2"/>
  <c r="I2456" i="2"/>
  <c r="M2456" i="2"/>
  <c r="C219" i="9"/>
  <c r="N2346" i="2"/>
  <c r="I2358" i="2"/>
  <c r="M2358" i="2"/>
  <c r="N2413" i="2"/>
  <c r="I2461" i="2"/>
  <c r="M2461" i="2"/>
  <c r="N2465" i="2"/>
  <c r="D42" i="7"/>
  <c r="C216" i="9"/>
  <c r="N2488" i="2"/>
  <c r="D218" i="9" s="1"/>
  <c r="C218" i="9"/>
  <c r="I2420" i="2"/>
  <c r="N2420" i="2" s="1"/>
  <c r="I2426" i="2"/>
  <c r="M2426" i="2"/>
  <c r="N2482" i="2"/>
  <c r="D217" i="9" s="1"/>
  <c r="C217" i="9"/>
  <c r="I2365" i="2"/>
  <c r="M2365" i="2"/>
  <c r="I2366" i="2"/>
  <c r="M2366" i="2"/>
  <c r="I2376" i="2"/>
  <c r="N2376" i="2" s="1"/>
  <c r="I2421" i="2"/>
  <c r="M2421" i="2"/>
  <c r="I2419" i="2"/>
  <c r="N2419" i="2" s="1"/>
  <c r="I2430" i="2"/>
  <c r="M2430" i="2"/>
  <c r="I2436" i="2"/>
  <c r="N2436" i="2" s="1"/>
  <c r="N2432" i="2"/>
  <c r="N2448" i="2"/>
  <c r="N2516" i="2"/>
  <c r="D220" i="9" s="1"/>
  <c r="C220" i="9"/>
  <c r="F68" i="7"/>
  <c r="J12" i="7"/>
  <c r="F74" i="7"/>
  <c r="I2339" i="2"/>
  <c r="N2339" i="2" s="1"/>
  <c r="I2340" i="2"/>
  <c r="N2340" i="2" s="1"/>
  <c r="I2341" i="2"/>
  <c r="N2341" i="2" s="1"/>
  <c r="I2342" i="2"/>
  <c r="N2342" i="2" s="1"/>
  <c r="I2343" i="2"/>
  <c r="N2343" i="2" s="1"/>
  <c r="I2344" i="2"/>
  <c r="N2344" i="2" s="1"/>
  <c r="I2345" i="2"/>
  <c r="N2345" i="2" s="1"/>
  <c r="I2338" i="2"/>
  <c r="I2337" i="2"/>
  <c r="N2337" i="2" s="1"/>
  <c r="I2336" i="2"/>
  <c r="I2335" i="2"/>
  <c r="N2335" i="2" s="1"/>
  <c r="I2334" i="2"/>
  <c r="N2334" i="2" s="1"/>
  <c r="I2333" i="2"/>
  <c r="N2333" i="2" s="1"/>
  <c r="I2332" i="2"/>
  <c r="N2332" i="2" s="1"/>
  <c r="I2331" i="2"/>
  <c r="N2331" i="2" s="1"/>
  <c r="I2330" i="2"/>
  <c r="I2322" i="2"/>
  <c r="N2322" i="2" s="1"/>
  <c r="I2308" i="2"/>
  <c r="N2308" i="2" s="1"/>
  <c r="I2309" i="2"/>
  <c r="N2309" i="2" s="1"/>
  <c r="I2310" i="2"/>
  <c r="N2310" i="2" s="1"/>
  <c r="I2311" i="2"/>
  <c r="N2311" i="2" s="1"/>
  <c r="I2312" i="2"/>
  <c r="I2313" i="2"/>
  <c r="I2314" i="2"/>
  <c r="N2314" i="2" s="1"/>
  <c r="I2315" i="2"/>
  <c r="N2315" i="2" s="1"/>
  <c r="I2316" i="2"/>
  <c r="N2316" i="2" s="1"/>
  <c r="I2317" i="2"/>
  <c r="N2317" i="2" s="1"/>
  <c r="I2318" i="2"/>
  <c r="N2318" i="2" s="1"/>
  <c r="I2319" i="2"/>
  <c r="N2319" i="2" s="1"/>
  <c r="I2320" i="2"/>
  <c r="N2320" i="2" s="1"/>
  <c r="I2321" i="2"/>
  <c r="N2321" i="2" s="1"/>
  <c r="I2323" i="2"/>
  <c r="I2324" i="2"/>
  <c r="N2324" i="2" s="1"/>
  <c r="I2325" i="2"/>
  <c r="N2325" i="2" s="1"/>
  <c r="I2326" i="2"/>
  <c r="N2326" i="2" s="1"/>
  <c r="I2327" i="2"/>
  <c r="N2327" i="2" s="1"/>
  <c r="I2328" i="2"/>
  <c r="N2328" i="2" s="1"/>
  <c r="I2329" i="2"/>
  <c r="N2329" i="2" s="1"/>
  <c r="I2306" i="2"/>
  <c r="I2285" i="2"/>
  <c r="I2286" i="2"/>
  <c r="N2286" i="2" s="1"/>
  <c r="I2287" i="2"/>
  <c r="N2287" i="2" s="1"/>
  <c r="I2288" i="2"/>
  <c r="N2288" i="2" s="1"/>
  <c r="I2289" i="2"/>
  <c r="N2289" i="2" s="1"/>
  <c r="I2290" i="2"/>
  <c r="N2290" i="2" s="1"/>
  <c r="I2291" i="2"/>
  <c r="N2291" i="2" s="1"/>
  <c r="I2292" i="2"/>
  <c r="N2292" i="2" s="1"/>
  <c r="I2293" i="2"/>
  <c r="N2293" i="2" s="1"/>
  <c r="I2294" i="2"/>
  <c r="N2294" i="2" s="1"/>
  <c r="I2295" i="2"/>
  <c r="N2295" i="2" s="1"/>
  <c r="I2296" i="2"/>
  <c r="N2296" i="2" s="1"/>
  <c r="I2297" i="2"/>
  <c r="N2297" i="2" s="1"/>
  <c r="I2298" i="2"/>
  <c r="N2298" i="2" s="1"/>
  <c r="I2300" i="2"/>
  <c r="N2300" i="2" s="1"/>
  <c r="I2301" i="2"/>
  <c r="N2301" i="2" s="1"/>
  <c r="I2302" i="2"/>
  <c r="N2302" i="2" s="1"/>
  <c r="I2304" i="2"/>
  <c r="N2304" i="2" s="1"/>
  <c r="I2305" i="2"/>
  <c r="N2305" i="2" s="1"/>
  <c r="G2303" i="2"/>
  <c r="G2299" i="2"/>
  <c r="I2284" i="2"/>
  <c r="N2284" i="2" s="1"/>
  <c r="I2270" i="2"/>
  <c r="I2271" i="2"/>
  <c r="N2271" i="2" s="1"/>
  <c r="I2272" i="2"/>
  <c r="N2272" i="2" s="1"/>
  <c r="I2273" i="2"/>
  <c r="N2273" i="2" s="1"/>
  <c r="I2274" i="2"/>
  <c r="N2274" i="2" s="1"/>
  <c r="I2275" i="2"/>
  <c r="N2275" i="2" s="1"/>
  <c r="I2276" i="2"/>
  <c r="N2276" i="2" s="1"/>
  <c r="I2277" i="2"/>
  <c r="N2277" i="2" s="1"/>
  <c r="I2279" i="2"/>
  <c r="N2279" i="2" s="1"/>
  <c r="I2280" i="2"/>
  <c r="N2280" i="2" s="1"/>
  <c r="I2281" i="2"/>
  <c r="N2281" i="2" s="1"/>
  <c r="I2282" i="2"/>
  <c r="N2282" i="2" s="1"/>
  <c r="I2283" i="2"/>
  <c r="N2283" i="2" s="1"/>
  <c r="G2278" i="2"/>
  <c r="M2278" i="2" s="1"/>
  <c r="C214" i="9" l="1"/>
  <c r="I2278" i="2"/>
  <c r="N2278" i="2" s="1"/>
  <c r="N2366" i="2"/>
  <c r="C210" i="9"/>
  <c r="N2437" i="2"/>
  <c r="D213" i="9" s="1"/>
  <c r="C213" i="9"/>
  <c r="N2358" i="2"/>
  <c r="N2365" i="2"/>
  <c r="N2426" i="2"/>
  <c r="N2461" i="2"/>
  <c r="N2421" i="2"/>
  <c r="N2451" i="2"/>
  <c r="E219" i="9"/>
  <c r="D206" i="9"/>
  <c r="D41" i="7"/>
  <c r="E217" i="9"/>
  <c r="E42" i="7"/>
  <c r="F42" i="7" s="1"/>
  <c r="D216" i="9"/>
  <c r="E216" i="9" s="1"/>
  <c r="D211" i="9"/>
  <c r="N2456" i="2"/>
  <c r="N2430" i="2"/>
  <c r="D210" i="9"/>
  <c r="I2299" i="2"/>
  <c r="M2299" i="2"/>
  <c r="N2285" i="2"/>
  <c r="N2330" i="2"/>
  <c r="D205" i="9" s="1"/>
  <c r="C205" i="9"/>
  <c r="E220" i="9"/>
  <c r="E218" i="9"/>
  <c r="C206" i="9"/>
  <c r="I2303" i="2"/>
  <c r="M2303" i="2"/>
  <c r="N2306" i="2"/>
  <c r="C212" i="9"/>
  <c r="N2270" i="2"/>
  <c r="C211" i="9"/>
  <c r="C207" i="9"/>
  <c r="E62" i="7"/>
  <c r="J11" i="7" s="1"/>
  <c r="D62" i="7"/>
  <c r="F61" i="7"/>
  <c r="F60" i="7"/>
  <c r="F59" i="7"/>
  <c r="F58" i="7"/>
  <c r="F57" i="7"/>
  <c r="D56" i="7"/>
  <c r="I10" i="7" s="1"/>
  <c r="F55" i="7"/>
  <c r="F54" i="7"/>
  <c r="F53" i="7"/>
  <c r="F52" i="7"/>
  <c r="F51" i="7"/>
  <c r="E50" i="7"/>
  <c r="J9" i="7" s="1"/>
  <c r="I9" i="7"/>
  <c r="F48" i="7"/>
  <c r="F47" i="7"/>
  <c r="F46" i="7"/>
  <c r="F45" i="7"/>
  <c r="F44" i="7"/>
  <c r="G2263" i="2"/>
  <c r="M2263" i="2" s="1"/>
  <c r="G2258" i="2"/>
  <c r="M2258" i="2" s="1"/>
  <c r="G2257" i="2"/>
  <c r="I2255" i="2"/>
  <c r="I2256" i="2"/>
  <c r="N2256" i="2" s="1"/>
  <c r="I2258" i="2"/>
  <c r="N2258" i="2" s="1"/>
  <c r="I2259" i="2"/>
  <c r="I2260" i="2"/>
  <c r="N2260" i="2" s="1"/>
  <c r="I2261" i="2"/>
  <c r="I2262" i="2"/>
  <c r="N2262" i="2" s="1"/>
  <c r="I2264" i="2"/>
  <c r="N2264" i="2" s="1"/>
  <c r="I2265" i="2"/>
  <c r="N2265" i="2" s="1"/>
  <c r="I2266" i="2"/>
  <c r="N2266" i="2" s="1"/>
  <c r="I2267" i="2"/>
  <c r="N2267" i="2" s="1"/>
  <c r="I2268" i="2"/>
  <c r="N2268" i="2" s="1"/>
  <c r="I2269" i="2"/>
  <c r="N2269" i="2" s="1"/>
  <c r="I2245" i="2"/>
  <c r="I2247" i="2"/>
  <c r="N2247" i="2" s="1"/>
  <c r="I2248" i="2"/>
  <c r="N2248" i="2" s="1"/>
  <c r="I2249" i="2"/>
  <c r="N2249" i="2" s="1"/>
  <c r="I2250" i="2"/>
  <c r="N2250" i="2" s="1"/>
  <c r="I2251" i="2"/>
  <c r="N2251" i="2" s="1"/>
  <c r="I2252" i="2"/>
  <c r="N2252" i="2" s="1"/>
  <c r="I2253" i="2"/>
  <c r="N2253" i="2" s="1"/>
  <c r="I2254" i="2"/>
  <c r="N2254" i="2" s="1"/>
  <c r="G2246" i="2"/>
  <c r="M2246" i="2" s="1"/>
  <c r="G2233" i="2"/>
  <c r="M2233" i="2" s="1"/>
  <c r="I2231" i="2"/>
  <c r="I2232" i="2"/>
  <c r="N2232" i="2" s="1"/>
  <c r="I2234" i="2"/>
  <c r="N2234" i="2" s="1"/>
  <c r="I2235" i="2"/>
  <c r="N2235" i="2" s="1"/>
  <c r="I2236" i="2"/>
  <c r="N2236" i="2" s="1"/>
  <c r="I2237" i="2"/>
  <c r="N2237" i="2" s="1"/>
  <c r="I2238" i="2"/>
  <c r="N2238" i="2" s="1"/>
  <c r="I2239" i="2"/>
  <c r="I2240" i="2"/>
  <c r="N2240" i="2" s="1"/>
  <c r="I2241" i="2"/>
  <c r="N2241" i="2" s="1"/>
  <c r="I2242" i="2"/>
  <c r="N2242" i="2" s="1"/>
  <c r="I2243" i="2"/>
  <c r="N2243" i="2" s="1"/>
  <c r="I2244" i="2"/>
  <c r="N2244" i="2" s="1"/>
  <c r="I2230" i="2"/>
  <c r="N2230" i="2" s="1"/>
  <c r="I2219" i="2"/>
  <c r="N2219" i="2" s="1"/>
  <c r="I2220" i="2"/>
  <c r="N2220" i="2" s="1"/>
  <c r="I2221" i="2"/>
  <c r="N2221" i="2" s="1"/>
  <c r="I2222" i="2"/>
  <c r="N2222" i="2" s="1"/>
  <c r="I2223" i="2"/>
  <c r="N2223" i="2" s="1"/>
  <c r="I2224" i="2"/>
  <c r="N2224" i="2" s="1"/>
  <c r="I2225" i="2"/>
  <c r="I2226" i="2"/>
  <c r="I2227" i="2"/>
  <c r="I2228" i="2"/>
  <c r="N2228" i="2" s="1"/>
  <c r="I2229" i="2"/>
  <c r="N2229" i="2" s="1"/>
  <c r="I2218" i="2"/>
  <c r="I2217" i="2"/>
  <c r="N2217" i="2" s="1"/>
  <c r="I2216" i="2"/>
  <c r="N2216" i="2" s="1"/>
  <c r="I2215" i="2"/>
  <c r="N2215" i="2" s="1"/>
  <c r="I2214" i="2"/>
  <c r="N2214" i="2" s="1"/>
  <c r="I2213" i="2"/>
  <c r="N2213" i="2" s="1"/>
  <c r="I2212" i="2"/>
  <c r="N2212" i="2" s="1"/>
  <c r="I2211" i="2"/>
  <c r="N2211" i="2" s="1"/>
  <c r="I2210" i="2"/>
  <c r="N2210" i="2" s="1"/>
  <c r="I2209" i="2"/>
  <c r="N2209" i="2" s="1"/>
  <c r="I2208" i="2"/>
  <c r="N2208" i="2" s="1"/>
  <c r="I2207" i="2"/>
  <c r="I2205" i="2"/>
  <c r="N2205" i="2" s="1"/>
  <c r="I2206" i="2"/>
  <c r="N2206" i="2" s="1"/>
  <c r="I2203" i="2"/>
  <c r="G2204" i="2"/>
  <c r="I2190" i="2"/>
  <c r="N2190" i="2" s="1"/>
  <c r="I2191" i="2"/>
  <c r="N2191" i="2" s="1"/>
  <c r="I2192" i="2"/>
  <c r="N2192" i="2" s="1"/>
  <c r="I2193" i="2"/>
  <c r="N2193" i="2" s="1"/>
  <c r="I2194" i="2"/>
  <c r="N2194" i="2" s="1"/>
  <c r="I2195" i="2"/>
  <c r="N2195" i="2" s="1"/>
  <c r="I2196" i="2"/>
  <c r="N2196" i="2" s="1"/>
  <c r="I2197" i="2"/>
  <c r="N2197" i="2" s="1"/>
  <c r="I2198" i="2"/>
  <c r="N2198" i="2" s="1"/>
  <c r="I2199" i="2"/>
  <c r="N2199" i="2" s="1"/>
  <c r="I2200" i="2"/>
  <c r="N2200" i="2" s="1"/>
  <c r="I2201" i="2"/>
  <c r="N2201" i="2" s="1"/>
  <c r="I2202" i="2"/>
  <c r="N2202" i="2" s="1"/>
  <c r="I2189" i="2"/>
  <c r="I2185" i="2"/>
  <c r="I2186" i="2"/>
  <c r="N2186" i="2" s="1"/>
  <c r="I2187" i="2"/>
  <c r="N2187" i="2" s="1"/>
  <c r="I2188" i="2"/>
  <c r="N2188" i="2" s="1"/>
  <c r="G2184" i="2"/>
  <c r="I2164" i="2"/>
  <c r="I2165" i="2"/>
  <c r="N2165" i="2" s="1"/>
  <c r="I2166" i="2"/>
  <c r="N2166" i="2" s="1"/>
  <c r="I2167" i="2"/>
  <c r="N2167" i="2" s="1"/>
  <c r="I2168" i="2"/>
  <c r="N2168" i="2" s="1"/>
  <c r="I2169" i="2"/>
  <c r="I2170" i="2"/>
  <c r="N2170" i="2" s="1"/>
  <c r="I2171" i="2"/>
  <c r="N2171" i="2" s="1"/>
  <c r="I2172" i="2"/>
  <c r="N2172" i="2" s="1"/>
  <c r="I2173" i="2"/>
  <c r="I2175" i="2"/>
  <c r="N2175" i="2" s="1"/>
  <c r="I2176" i="2"/>
  <c r="N2176" i="2" s="1"/>
  <c r="I2177" i="2"/>
  <c r="N2177" i="2" s="1"/>
  <c r="I2178" i="2"/>
  <c r="N2178" i="2" s="1"/>
  <c r="I2179" i="2"/>
  <c r="N2179" i="2" s="1"/>
  <c r="I2180" i="2"/>
  <c r="N2180" i="2" s="1"/>
  <c r="I2181" i="2"/>
  <c r="N2181" i="2" s="1"/>
  <c r="I2182" i="2"/>
  <c r="N2182" i="2" s="1"/>
  <c r="I2183" i="2"/>
  <c r="N2183" i="2" s="1"/>
  <c r="G2174" i="2"/>
  <c r="M2174" i="2" s="1"/>
  <c r="I2163" i="2"/>
  <c r="N2163" i="2" s="1"/>
  <c r="I2162" i="2"/>
  <c r="N2162" i="2" s="1"/>
  <c r="I2161" i="2"/>
  <c r="N2161" i="2" s="1"/>
  <c r="I2160" i="2"/>
  <c r="N2160" i="2" s="1"/>
  <c r="I2159" i="2"/>
  <c r="N2159" i="2" s="1"/>
  <c r="I2158" i="2"/>
  <c r="I2157" i="2"/>
  <c r="N2158" i="2" l="1"/>
  <c r="E9" i="8"/>
  <c r="C202" i="9"/>
  <c r="I2246" i="2"/>
  <c r="N2246" i="2" s="1"/>
  <c r="I2263" i="2"/>
  <c r="E210" i="9"/>
  <c r="D207" i="9"/>
  <c r="E207" i="9" s="1"/>
  <c r="E213" i="9"/>
  <c r="D212" i="9"/>
  <c r="E212" i="9" s="1"/>
  <c r="E41" i="7"/>
  <c r="F41" i="7" s="1"/>
  <c r="N2299" i="2"/>
  <c r="D214" i="9"/>
  <c r="E214" i="9" s="1"/>
  <c r="N2263" i="2"/>
  <c r="N2303" i="2"/>
  <c r="E205" i="9"/>
  <c r="N2218" i="2"/>
  <c r="D197" i="9" s="1"/>
  <c r="C197" i="9"/>
  <c r="I2233" i="2"/>
  <c r="N2233" i="2" s="1"/>
  <c r="D202" i="9"/>
  <c r="C203" i="9"/>
  <c r="N2164" i="2"/>
  <c r="I2204" i="2"/>
  <c r="C195" i="9" s="1"/>
  <c r="M2204" i="2"/>
  <c r="N2207" i="2"/>
  <c r="D196" i="9" s="1"/>
  <c r="C196" i="9"/>
  <c r="I2257" i="2"/>
  <c r="M2257" i="2"/>
  <c r="I2184" i="2"/>
  <c r="M2184" i="2"/>
  <c r="N2185" i="2"/>
  <c r="D192" i="9" s="1"/>
  <c r="C192" i="9"/>
  <c r="N2203" i="2"/>
  <c r="N2231" i="2"/>
  <c r="C198" i="9"/>
  <c r="N2245" i="2"/>
  <c r="C199" i="9"/>
  <c r="E206" i="9"/>
  <c r="E211" i="9"/>
  <c r="C190" i="9"/>
  <c r="D190" i="9"/>
  <c r="I2174" i="2"/>
  <c r="N2174" i="2" s="1"/>
  <c r="N2189" i="2"/>
  <c r="D193" i="9" s="1"/>
  <c r="C193" i="9"/>
  <c r="F62" i="7"/>
  <c r="I11" i="7"/>
  <c r="F50" i="7"/>
  <c r="F56" i="7"/>
  <c r="I2154" i="2"/>
  <c r="N2154" i="2" s="1"/>
  <c r="I2155" i="2"/>
  <c r="N2155" i="2" s="1"/>
  <c r="I2156" i="2"/>
  <c r="N2156" i="2" s="1"/>
  <c r="E202" i="9" l="1"/>
  <c r="F9" i="8"/>
  <c r="D198" i="9"/>
  <c r="E198" i="9" s="1"/>
  <c r="D203" i="9"/>
  <c r="E203" i="9" s="1"/>
  <c r="D199" i="9"/>
  <c r="E199" i="9" s="1"/>
  <c r="N2257" i="2"/>
  <c r="D200" i="9" s="1"/>
  <c r="N2204" i="2"/>
  <c r="D38" i="7"/>
  <c r="D39" i="7"/>
  <c r="E192" i="9"/>
  <c r="E193" i="9"/>
  <c r="C191" i="9"/>
  <c r="N2184" i="2"/>
  <c r="D191" i="9" s="1"/>
  <c r="E196" i="9"/>
  <c r="E197" i="9"/>
  <c r="C200" i="9"/>
  <c r="G2145" i="2"/>
  <c r="M2145" i="2" s="1"/>
  <c r="G2142" i="2"/>
  <c r="M2142" i="2" s="1"/>
  <c r="I2139" i="2"/>
  <c r="I2140" i="2"/>
  <c r="N2140" i="2" s="1"/>
  <c r="I2141" i="2"/>
  <c r="N2141" i="2" s="1"/>
  <c r="I2142" i="2"/>
  <c r="N2142" i="2" s="1"/>
  <c r="I2143" i="2"/>
  <c r="N2143" i="2" s="1"/>
  <c r="I2144" i="2"/>
  <c r="N2144" i="2" s="1"/>
  <c r="I2145" i="2"/>
  <c r="N2145" i="2" s="1"/>
  <c r="I2146" i="2"/>
  <c r="N2146" i="2" s="1"/>
  <c r="I2147" i="2"/>
  <c r="N2147" i="2" s="1"/>
  <c r="I2148" i="2"/>
  <c r="N2148" i="2" s="1"/>
  <c r="I2149" i="2"/>
  <c r="N2149" i="2" s="1"/>
  <c r="I2150" i="2"/>
  <c r="N2150" i="2" s="1"/>
  <c r="I2151" i="2"/>
  <c r="N2151" i="2" s="1"/>
  <c r="I2152" i="2"/>
  <c r="N2152" i="2" s="1"/>
  <c r="I2153" i="2"/>
  <c r="N2153" i="2" s="1"/>
  <c r="I2126" i="2"/>
  <c r="I2127" i="2"/>
  <c r="N2127" i="2" s="1"/>
  <c r="I2128" i="2"/>
  <c r="N2128" i="2" s="1"/>
  <c r="I2129" i="2"/>
  <c r="N2129" i="2" s="1"/>
  <c r="I2132" i="2"/>
  <c r="N2132" i="2" s="1"/>
  <c r="I2133" i="2"/>
  <c r="N2133" i="2" s="1"/>
  <c r="I2134" i="2"/>
  <c r="N2134" i="2" s="1"/>
  <c r="I2135" i="2"/>
  <c r="N2135" i="2" s="1"/>
  <c r="I2136" i="2"/>
  <c r="N2136" i="2" s="1"/>
  <c r="I2137" i="2"/>
  <c r="N2137" i="2" s="1"/>
  <c r="I2138" i="2"/>
  <c r="N2138" i="2" s="1"/>
  <c r="G2131" i="2"/>
  <c r="G2130" i="2"/>
  <c r="I2110" i="2"/>
  <c r="I2111" i="2"/>
  <c r="N2111" i="2" s="1"/>
  <c r="I2112" i="2"/>
  <c r="N2112" i="2" s="1"/>
  <c r="I2113" i="2"/>
  <c r="N2113" i="2" s="1"/>
  <c r="I2114" i="2"/>
  <c r="N2114" i="2" s="1"/>
  <c r="I2115" i="2"/>
  <c r="N2115" i="2" s="1"/>
  <c r="I2116" i="2"/>
  <c r="N2116" i="2" s="1"/>
  <c r="I2117" i="2"/>
  <c r="N2117" i="2" s="1"/>
  <c r="I2118" i="2"/>
  <c r="N2118" i="2" s="1"/>
  <c r="I2119" i="2"/>
  <c r="N2119" i="2" s="1"/>
  <c r="I2120" i="2"/>
  <c r="N2120" i="2" s="1"/>
  <c r="I2121" i="2"/>
  <c r="N2121" i="2" s="1"/>
  <c r="I2122" i="2"/>
  <c r="N2122" i="2" s="1"/>
  <c r="I2123" i="2"/>
  <c r="N2123" i="2" s="1"/>
  <c r="I2124" i="2"/>
  <c r="N2124" i="2" s="1"/>
  <c r="I2125" i="2"/>
  <c r="N2125" i="2" s="1"/>
  <c r="I2105" i="2"/>
  <c r="I2106" i="2"/>
  <c r="N2106" i="2" s="1"/>
  <c r="I2107" i="2"/>
  <c r="N2107" i="2" s="1"/>
  <c r="I2108" i="2"/>
  <c r="N2108" i="2" s="1"/>
  <c r="G2109" i="2"/>
  <c r="I2090" i="2"/>
  <c r="I2092" i="2"/>
  <c r="N2092" i="2" s="1"/>
  <c r="I2093" i="2"/>
  <c r="N2093" i="2" s="1"/>
  <c r="I2094" i="2"/>
  <c r="N2094" i="2" s="1"/>
  <c r="I2095" i="2"/>
  <c r="N2095" i="2" s="1"/>
  <c r="I2096" i="2"/>
  <c r="I2097" i="2"/>
  <c r="N2097" i="2" s="1"/>
  <c r="I2098" i="2"/>
  <c r="N2098" i="2" s="1"/>
  <c r="I2099" i="2"/>
  <c r="I2100" i="2"/>
  <c r="N2100" i="2" s="1"/>
  <c r="I2101" i="2"/>
  <c r="N2101" i="2" s="1"/>
  <c r="I2102" i="2"/>
  <c r="N2102" i="2" s="1"/>
  <c r="I2103" i="2"/>
  <c r="N2103" i="2" s="1"/>
  <c r="I2104" i="2"/>
  <c r="N2104" i="2" s="1"/>
  <c r="G2091" i="2"/>
  <c r="M2091" i="2" s="1"/>
  <c r="I2089" i="2"/>
  <c r="N2089" i="2" s="1"/>
  <c r="I2087" i="2"/>
  <c r="N2087" i="2" s="1"/>
  <c r="I2086" i="2"/>
  <c r="G2088" i="2"/>
  <c r="I2075" i="2"/>
  <c r="I2077" i="2"/>
  <c r="I2079" i="2"/>
  <c r="N2079" i="2" s="1"/>
  <c r="I2080" i="2"/>
  <c r="N2080" i="2" s="1"/>
  <c r="I2081" i="2"/>
  <c r="N2081" i="2" s="1"/>
  <c r="I2082" i="2"/>
  <c r="N2082" i="2" s="1"/>
  <c r="I2083" i="2"/>
  <c r="N2083" i="2" s="1"/>
  <c r="I2084" i="2"/>
  <c r="N2084" i="2" s="1"/>
  <c r="I2085" i="2"/>
  <c r="N2085" i="2" s="1"/>
  <c r="G2078" i="2"/>
  <c r="G2076" i="2"/>
  <c r="I2070" i="2"/>
  <c r="I2071" i="2"/>
  <c r="N2071" i="2" s="1"/>
  <c r="I2072" i="2"/>
  <c r="N2072" i="2" s="1"/>
  <c r="I2073" i="2"/>
  <c r="N2073" i="2" s="1"/>
  <c r="I2074" i="2"/>
  <c r="N2074" i="2" s="1"/>
  <c r="G2060" i="2"/>
  <c r="I2061" i="2"/>
  <c r="N2061" i="2" s="1"/>
  <c r="I2062" i="2"/>
  <c r="N2062" i="2" s="1"/>
  <c r="I2063" i="2"/>
  <c r="N2063" i="2" s="1"/>
  <c r="I2064" i="2"/>
  <c r="N2064" i="2" s="1"/>
  <c r="I2065" i="2"/>
  <c r="N2065" i="2" s="1"/>
  <c r="I2066" i="2"/>
  <c r="N2066" i="2" s="1"/>
  <c r="I2067" i="2"/>
  <c r="N2067" i="2" s="1"/>
  <c r="I2068" i="2"/>
  <c r="N2068" i="2" s="1"/>
  <c r="I2069" i="2"/>
  <c r="N2069" i="2" s="1"/>
  <c r="I2050" i="2"/>
  <c r="I2051" i="2"/>
  <c r="N2051" i="2" s="1"/>
  <c r="I2052" i="2"/>
  <c r="N2052" i="2" s="1"/>
  <c r="I2053" i="2"/>
  <c r="N2053" i="2" s="1"/>
  <c r="I2054" i="2"/>
  <c r="N2054" i="2" s="1"/>
  <c r="I2055" i="2"/>
  <c r="N2055" i="2" s="1"/>
  <c r="I2056" i="2"/>
  <c r="N2056" i="2" s="1"/>
  <c r="I2057" i="2"/>
  <c r="N2057" i="2" s="1"/>
  <c r="I2058" i="2"/>
  <c r="N2058" i="2" s="1"/>
  <c r="G2059" i="2"/>
  <c r="I2047" i="2"/>
  <c r="N2047" i="2" s="1"/>
  <c r="I2048" i="2"/>
  <c r="N2048" i="2" s="1"/>
  <c r="I2049" i="2"/>
  <c r="G2046" i="2"/>
  <c r="I2036" i="2"/>
  <c r="N2036" i="2" s="1"/>
  <c r="I2037" i="2"/>
  <c r="N2037" i="2" s="1"/>
  <c r="I2038" i="2"/>
  <c r="N2038" i="2" s="1"/>
  <c r="I2039" i="2"/>
  <c r="N2039" i="2" s="1"/>
  <c r="I2040" i="2"/>
  <c r="N2040" i="2" s="1"/>
  <c r="I2041" i="2"/>
  <c r="N2041" i="2" s="1"/>
  <c r="I2042" i="2"/>
  <c r="N2042" i="2" s="1"/>
  <c r="I2043" i="2"/>
  <c r="N2043" i="2" s="1"/>
  <c r="I2044" i="2"/>
  <c r="N2044" i="2" s="1"/>
  <c r="I2045" i="2"/>
  <c r="N2045" i="2" s="1"/>
  <c r="I2035" i="2"/>
  <c r="I2024" i="2"/>
  <c r="I2025" i="2"/>
  <c r="N2025" i="2" s="1"/>
  <c r="I2026" i="2"/>
  <c r="N2026" i="2" s="1"/>
  <c r="I2027" i="2"/>
  <c r="N2027" i="2" s="1"/>
  <c r="I2028" i="2"/>
  <c r="N2028" i="2" s="1"/>
  <c r="I2029" i="2"/>
  <c r="N2029" i="2" s="1"/>
  <c r="I2030" i="2"/>
  <c r="N2030" i="2" s="1"/>
  <c r="I2031" i="2"/>
  <c r="N2031" i="2" s="1"/>
  <c r="I2032" i="2"/>
  <c r="N2032" i="2" s="1"/>
  <c r="I2033" i="2"/>
  <c r="N2033" i="2" s="1"/>
  <c r="I2034" i="2"/>
  <c r="N2034" i="2" s="1"/>
  <c r="I2017" i="2"/>
  <c r="N2017" i="2" s="1"/>
  <c r="I2018" i="2"/>
  <c r="I2019" i="2"/>
  <c r="N2019" i="2" s="1"/>
  <c r="I2020" i="2"/>
  <c r="N2020" i="2" s="1"/>
  <c r="I2021" i="2"/>
  <c r="N2021" i="2" s="1"/>
  <c r="I2022" i="2"/>
  <c r="N2022" i="2" s="1"/>
  <c r="G2023" i="2"/>
  <c r="M2023" i="2" s="1"/>
  <c r="I2016" i="2"/>
  <c r="E39" i="7" l="1"/>
  <c r="F39" i="7" s="1"/>
  <c r="I2023" i="2"/>
  <c r="N2023" i="2" s="1"/>
  <c r="D195" i="9"/>
  <c r="E195" i="9" s="1"/>
  <c r="E38" i="7"/>
  <c r="F38" i="7" s="1"/>
  <c r="E191" i="9"/>
  <c r="I2078" i="2"/>
  <c r="M2078" i="2"/>
  <c r="I2091" i="2"/>
  <c r="N2091" i="2" s="1"/>
  <c r="D183" i="9" s="1"/>
  <c r="I2131" i="2"/>
  <c r="M2131" i="2"/>
  <c r="I2060" i="2"/>
  <c r="M2060" i="2"/>
  <c r="N2075" i="2"/>
  <c r="E200" i="9"/>
  <c r="N2024" i="2"/>
  <c r="D174" i="9" s="1"/>
  <c r="C174" i="9"/>
  <c r="I2046" i="2"/>
  <c r="M2046" i="2"/>
  <c r="I2059" i="2"/>
  <c r="M2059" i="2"/>
  <c r="N2070" i="2"/>
  <c r="C180" i="9"/>
  <c r="I2088" i="2"/>
  <c r="C182" i="9" s="1"/>
  <c r="M2088" i="2"/>
  <c r="I2109" i="2"/>
  <c r="C184" i="9" s="1"/>
  <c r="M2109" i="2"/>
  <c r="N2105" i="2"/>
  <c r="N2110" i="2"/>
  <c r="D185" i="9" s="1"/>
  <c r="C185" i="9"/>
  <c r="N2139" i="2"/>
  <c r="D188" i="9" s="1"/>
  <c r="C188" i="9"/>
  <c r="N2016" i="2"/>
  <c r="N2035" i="2"/>
  <c r="D175" i="9" s="1"/>
  <c r="C175" i="9"/>
  <c r="N2050" i="2"/>
  <c r="I2076" i="2"/>
  <c r="M2076" i="2"/>
  <c r="N2086" i="2"/>
  <c r="I2130" i="2"/>
  <c r="M2130" i="2"/>
  <c r="N2126" i="2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10" i="1"/>
  <c r="L411" i="1"/>
  <c r="L412" i="1"/>
  <c r="L413" i="1"/>
  <c r="L381" i="1"/>
  <c r="L382" i="1"/>
  <c r="L383" i="1"/>
  <c r="L384" i="1"/>
  <c r="L385" i="1"/>
  <c r="L386" i="1"/>
  <c r="L387" i="1"/>
  <c r="L394" i="1"/>
  <c r="L395" i="1"/>
  <c r="L396" i="1"/>
  <c r="L397" i="1"/>
  <c r="L398" i="1"/>
  <c r="L399" i="1"/>
  <c r="L388" i="1"/>
  <c r="L389" i="1"/>
  <c r="L390" i="1"/>
  <c r="L391" i="1"/>
  <c r="L392" i="1"/>
  <c r="L393" i="1"/>
  <c r="L339" i="1"/>
  <c r="L340" i="1"/>
  <c r="L341" i="1"/>
  <c r="L342" i="1"/>
  <c r="L337" i="1"/>
  <c r="L338" i="1"/>
  <c r="J338" i="1"/>
  <c r="J337" i="1"/>
  <c r="J342" i="1"/>
  <c r="J341" i="1"/>
  <c r="J340" i="1"/>
  <c r="J339" i="1"/>
  <c r="J389" i="1"/>
  <c r="J390" i="1"/>
  <c r="J391" i="1"/>
  <c r="J392" i="1"/>
  <c r="J393" i="1"/>
  <c r="J388" i="1"/>
  <c r="J399" i="1"/>
  <c r="J398" i="1"/>
  <c r="J397" i="1"/>
  <c r="J396" i="1"/>
  <c r="J395" i="1"/>
  <c r="J394" i="1"/>
  <c r="J385" i="1"/>
  <c r="J386" i="1"/>
  <c r="J387" i="1"/>
  <c r="J384" i="1"/>
  <c r="J383" i="1"/>
  <c r="J382" i="1"/>
  <c r="J381" i="1"/>
  <c r="I429" i="1"/>
  <c r="J429" i="1" s="1"/>
  <c r="J413" i="1"/>
  <c r="J412" i="1"/>
  <c r="J411" i="1"/>
  <c r="J410" i="1"/>
  <c r="J430" i="1"/>
  <c r="J431" i="1"/>
  <c r="J428" i="1"/>
  <c r="J419" i="1"/>
  <c r="J420" i="1"/>
  <c r="J421" i="1"/>
  <c r="J422" i="1"/>
  <c r="J423" i="1"/>
  <c r="J424" i="1"/>
  <c r="J425" i="1"/>
  <c r="J426" i="1"/>
  <c r="J427" i="1"/>
  <c r="J418" i="1"/>
  <c r="K445" i="1"/>
  <c r="L445" i="1" s="1"/>
  <c r="K444" i="1"/>
  <c r="L444" i="1" s="1"/>
  <c r="K443" i="1"/>
  <c r="L443" i="1" s="1"/>
  <c r="K442" i="1"/>
  <c r="L442" i="1" s="1"/>
  <c r="L441" i="1"/>
  <c r="L440" i="1"/>
  <c r="L439" i="1"/>
  <c r="L438" i="1"/>
  <c r="J438" i="1"/>
  <c r="J439" i="1"/>
  <c r="J440" i="1"/>
  <c r="J441" i="1"/>
  <c r="J442" i="1"/>
  <c r="J443" i="1"/>
  <c r="J444" i="1"/>
  <c r="J445" i="1"/>
  <c r="L414" i="1"/>
  <c r="L446" i="1"/>
  <c r="I414" i="1"/>
  <c r="J414" i="1" s="1"/>
  <c r="I446" i="1"/>
  <c r="J446" i="1" s="1"/>
  <c r="L360" i="1"/>
  <c r="L359" i="1"/>
  <c r="I360" i="1"/>
  <c r="J360" i="1" s="1"/>
  <c r="I359" i="1"/>
  <c r="J359" i="1" s="1"/>
  <c r="L447" i="1"/>
  <c r="L448" i="1"/>
  <c r="L449" i="1"/>
  <c r="L450" i="1"/>
  <c r="J449" i="1"/>
  <c r="I450" i="1"/>
  <c r="J450" i="1" s="1"/>
  <c r="I448" i="1"/>
  <c r="J448" i="1" s="1"/>
  <c r="I449" i="1"/>
  <c r="I447" i="1"/>
  <c r="J447" i="1" s="1"/>
  <c r="L437" i="1"/>
  <c r="L436" i="1"/>
  <c r="L435" i="1"/>
  <c r="L434" i="1"/>
  <c r="L433" i="1"/>
  <c r="L432" i="1"/>
  <c r="J434" i="1"/>
  <c r="J435" i="1"/>
  <c r="J436" i="1"/>
  <c r="I437" i="1"/>
  <c r="J437" i="1" s="1"/>
  <c r="I433" i="1"/>
  <c r="J433" i="1" s="1"/>
  <c r="I432" i="1"/>
  <c r="J432" i="1" s="1"/>
  <c r="L416" i="1"/>
  <c r="L417" i="1"/>
  <c r="L402" i="1"/>
  <c r="L403" i="1"/>
  <c r="L404" i="1"/>
  <c r="L405" i="1"/>
  <c r="L406" i="1"/>
  <c r="L407" i="1"/>
  <c r="L408" i="1"/>
  <c r="L409" i="1"/>
  <c r="J407" i="1"/>
  <c r="J408" i="1"/>
  <c r="J409" i="1"/>
  <c r="J406" i="1"/>
  <c r="J405" i="1"/>
  <c r="J404" i="1"/>
  <c r="J403" i="1"/>
  <c r="J402" i="1"/>
  <c r="L415" i="1"/>
  <c r="J416" i="1"/>
  <c r="J415" i="1"/>
  <c r="L401" i="1"/>
  <c r="L400" i="1"/>
  <c r="J401" i="1"/>
  <c r="J400" i="1"/>
  <c r="L364" i="1"/>
  <c r="L365" i="1"/>
  <c r="L366" i="1"/>
  <c r="L367" i="1"/>
  <c r="L368" i="1"/>
  <c r="L369" i="1"/>
  <c r="L370" i="1"/>
  <c r="L371" i="1"/>
  <c r="L372" i="1"/>
  <c r="L373" i="1"/>
  <c r="L378" i="1"/>
  <c r="L343" i="1"/>
  <c r="L344" i="1"/>
  <c r="L376" i="1"/>
  <c r="L362" i="1"/>
  <c r="L363" i="1"/>
  <c r="L379" i="1"/>
  <c r="L380" i="1"/>
  <c r="L377" i="1"/>
  <c r="L322" i="1"/>
  <c r="L374" i="1"/>
  <c r="L375" i="1"/>
  <c r="L358" i="1"/>
  <c r="L357" i="1"/>
  <c r="L356" i="1"/>
  <c r="L355" i="1"/>
  <c r="L354" i="1"/>
  <c r="L353" i="1"/>
  <c r="L352" i="1"/>
  <c r="L351" i="1"/>
  <c r="L350" i="1"/>
  <c r="L349" i="1"/>
  <c r="C173" i="9" l="1"/>
  <c r="D36" i="7"/>
  <c r="M418" i="1"/>
  <c r="D34" i="7"/>
  <c r="C177" i="9"/>
  <c r="C183" i="9"/>
  <c r="E183" i="9" s="1"/>
  <c r="C187" i="9"/>
  <c r="N2130" i="2"/>
  <c r="N2076" i="2"/>
  <c r="N2109" i="2"/>
  <c r="D184" i="9" s="1"/>
  <c r="E184" i="9" s="1"/>
  <c r="N2131" i="2"/>
  <c r="E175" i="9"/>
  <c r="E185" i="9"/>
  <c r="D180" i="9"/>
  <c r="E180" i="9" s="1"/>
  <c r="N2046" i="2"/>
  <c r="D176" i="9" s="1"/>
  <c r="C176" i="9"/>
  <c r="N2060" i="2"/>
  <c r="D178" i="9" s="1"/>
  <c r="C178" i="9"/>
  <c r="E188" i="9"/>
  <c r="N2088" i="2"/>
  <c r="D182" i="9" s="1"/>
  <c r="E182" i="9" s="1"/>
  <c r="C181" i="9"/>
  <c r="N2078" i="2"/>
  <c r="N2059" i="2"/>
  <c r="D177" i="9" s="1"/>
  <c r="E174" i="9"/>
  <c r="D173" i="9"/>
  <c r="D35" i="7"/>
  <c r="M409" i="1"/>
  <c r="M417" i="1"/>
  <c r="M437" i="1"/>
  <c r="M438" i="1"/>
  <c r="M390" i="1"/>
  <c r="M410" i="1"/>
  <c r="M400" i="1"/>
  <c r="M406" i="1"/>
  <c r="M414" i="1"/>
  <c r="M382" i="1"/>
  <c r="M396" i="1"/>
  <c r="M338" i="1"/>
  <c r="M340" i="1"/>
  <c r="M395" i="1"/>
  <c r="M381" i="1"/>
  <c r="M450" i="1"/>
  <c r="M446" i="1"/>
  <c r="M411" i="1"/>
  <c r="M425" i="1"/>
  <c r="M388" i="1"/>
  <c r="M391" i="1"/>
  <c r="M445" i="1"/>
  <c r="M413" i="1"/>
  <c r="M435" i="1"/>
  <c r="M360" i="1"/>
  <c r="M384" i="1"/>
  <c r="M339" i="1"/>
  <c r="M389" i="1"/>
  <c r="M387" i="1"/>
  <c r="M443" i="1"/>
  <c r="M341" i="1"/>
  <c r="M386" i="1"/>
  <c r="M422" i="1"/>
  <c r="M404" i="1"/>
  <c r="M420" i="1"/>
  <c r="M397" i="1"/>
  <c r="M385" i="1"/>
  <c r="M431" i="1"/>
  <c r="M427" i="1"/>
  <c r="M423" i="1"/>
  <c r="M394" i="1"/>
  <c r="M398" i="1"/>
  <c r="M392" i="1"/>
  <c r="M337" i="1"/>
  <c r="M342" i="1"/>
  <c r="M393" i="1"/>
  <c r="M399" i="1"/>
  <c r="M383" i="1"/>
  <c r="M421" i="1"/>
  <c r="M412" i="1"/>
  <c r="M432" i="1"/>
  <c r="M436" i="1"/>
  <c r="M441" i="1"/>
  <c r="M428" i="1"/>
  <c r="M448" i="1"/>
  <c r="M444" i="1"/>
  <c r="M419" i="1"/>
  <c r="M429" i="1"/>
  <c r="M424" i="1"/>
  <c r="M440" i="1"/>
  <c r="M430" i="1"/>
  <c r="M426" i="1"/>
  <c r="M442" i="1"/>
  <c r="M433" i="1"/>
  <c r="M447" i="1"/>
  <c r="M408" i="1"/>
  <c r="M405" i="1"/>
  <c r="M402" i="1"/>
  <c r="M434" i="1"/>
  <c r="M449" i="1"/>
  <c r="M359" i="1"/>
  <c r="M403" i="1"/>
  <c r="M401" i="1"/>
  <c r="M415" i="1"/>
  <c r="M407" i="1"/>
  <c r="M439" i="1"/>
  <c r="I2008" i="2"/>
  <c r="I2009" i="2"/>
  <c r="N2009" i="2" s="1"/>
  <c r="I2010" i="2"/>
  <c r="I2013" i="2"/>
  <c r="N2013" i="2" s="1"/>
  <c r="I2014" i="2"/>
  <c r="N2014" i="2" s="1"/>
  <c r="I2015" i="2"/>
  <c r="N2015" i="2" s="1"/>
  <c r="I2007" i="2"/>
  <c r="N2007" i="2" s="1"/>
  <c r="I2006" i="2"/>
  <c r="N2006" i="2" s="1"/>
  <c r="I2005" i="2"/>
  <c r="N2005" i="2" s="1"/>
  <c r="I2004" i="2"/>
  <c r="G2012" i="2"/>
  <c r="G2011" i="2"/>
  <c r="I2000" i="2"/>
  <c r="N2000" i="2" s="1"/>
  <c r="I2001" i="2"/>
  <c r="I2002" i="2"/>
  <c r="I2003" i="2"/>
  <c r="N2003" i="2" s="1"/>
  <c r="I1998" i="2"/>
  <c r="N1998" i="2" s="1"/>
  <c r="I1997" i="2"/>
  <c r="G1999" i="2"/>
  <c r="M1999" i="2" s="1"/>
  <c r="G1992" i="2"/>
  <c r="I1987" i="2"/>
  <c r="I1988" i="2"/>
  <c r="N1988" i="2" s="1"/>
  <c r="I1989" i="2"/>
  <c r="N1989" i="2" s="1"/>
  <c r="I1990" i="2"/>
  <c r="N1990" i="2" s="1"/>
  <c r="I1991" i="2"/>
  <c r="N1991" i="2" s="1"/>
  <c r="I1993" i="2"/>
  <c r="N1993" i="2" s="1"/>
  <c r="I1994" i="2"/>
  <c r="I1995" i="2"/>
  <c r="N1995" i="2" s="1"/>
  <c r="I1996" i="2"/>
  <c r="N1996" i="2" s="1"/>
  <c r="I1976" i="2"/>
  <c r="N1976" i="2" s="1"/>
  <c r="I1977" i="2"/>
  <c r="N1977" i="2" s="1"/>
  <c r="I1978" i="2"/>
  <c r="N1978" i="2" s="1"/>
  <c r="I1979" i="2"/>
  <c r="N1979" i="2" s="1"/>
  <c r="I1980" i="2"/>
  <c r="N1980" i="2" s="1"/>
  <c r="I1981" i="2"/>
  <c r="N1981" i="2" s="1"/>
  <c r="I1982" i="2"/>
  <c r="N1982" i="2" s="1"/>
  <c r="I1983" i="2"/>
  <c r="N1983" i="2" s="1"/>
  <c r="I1984" i="2"/>
  <c r="N1984" i="2" s="1"/>
  <c r="I1985" i="2"/>
  <c r="N1985" i="2" s="1"/>
  <c r="I1986" i="2"/>
  <c r="N1986" i="2" s="1"/>
  <c r="I1975" i="2"/>
  <c r="I1955" i="2"/>
  <c r="I1956" i="2"/>
  <c r="N1956" i="2" s="1"/>
  <c r="I1957" i="2"/>
  <c r="N1957" i="2" s="1"/>
  <c r="I1959" i="2"/>
  <c r="N1959" i="2" s="1"/>
  <c r="I1960" i="2"/>
  <c r="N1960" i="2" s="1"/>
  <c r="I1961" i="2"/>
  <c r="N1961" i="2" s="1"/>
  <c r="I1962" i="2"/>
  <c r="N1962" i="2" s="1"/>
  <c r="I1963" i="2"/>
  <c r="N1963" i="2" s="1"/>
  <c r="I1964" i="2"/>
  <c r="N1964" i="2" s="1"/>
  <c r="I1965" i="2"/>
  <c r="N1965" i="2" s="1"/>
  <c r="I1966" i="2"/>
  <c r="N1966" i="2" s="1"/>
  <c r="I1967" i="2"/>
  <c r="N1967" i="2" s="1"/>
  <c r="I1968" i="2"/>
  <c r="N1968" i="2" s="1"/>
  <c r="I1969" i="2"/>
  <c r="N1969" i="2" s="1"/>
  <c r="I1970" i="2"/>
  <c r="N1970" i="2" s="1"/>
  <c r="I1971" i="2"/>
  <c r="N1971" i="2" s="1"/>
  <c r="I1972" i="2"/>
  <c r="N1972" i="2" s="1"/>
  <c r="I1973" i="2"/>
  <c r="N1973" i="2" s="1"/>
  <c r="I1974" i="2"/>
  <c r="N1974" i="2" s="1"/>
  <c r="G1958" i="2"/>
  <c r="I1953" i="2"/>
  <c r="N1953" i="2" s="1"/>
  <c r="G1954" i="2"/>
  <c r="M1954" i="2" s="1"/>
  <c r="I1942" i="2"/>
  <c r="I1944" i="2"/>
  <c r="N1944" i="2" s="1"/>
  <c r="I1945" i="2"/>
  <c r="N1945" i="2" s="1"/>
  <c r="I1946" i="2"/>
  <c r="N1946" i="2" s="1"/>
  <c r="I1947" i="2"/>
  <c r="N1947" i="2" s="1"/>
  <c r="I1948" i="2"/>
  <c r="N1948" i="2" s="1"/>
  <c r="I1949" i="2"/>
  <c r="N1949" i="2" s="1"/>
  <c r="I1950" i="2"/>
  <c r="N1950" i="2" s="1"/>
  <c r="I1952" i="2"/>
  <c r="N1952" i="2" s="1"/>
  <c r="I1943" i="2"/>
  <c r="N1943" i="2" s="1"/>
  <c r="G1951" i="2"/>
  <c r="M1951" i="2" s="1"/>
  <c r="E173" i="9" l="1"/>
  <c r="I1954" i="2"/>
  <c r="I1951" i="2"/>
  <c r="E177" i="9"/>
  <c r="E36" i="7"/>
  <c r="F36" i="7" s="1"/>
  <c r="E35" i="7"/>
  <c r="F35" i="7" s="1"/>
  <c r="E34" i="7"/>
  <c r="F34" i="7" s="1"/>
  <c r="D181" i="9"/>
  <c r="E181" i="9" s="1"/>
  <c r="D187" i="9"/>
  <c r="E187" i="9" s="1"/>
  <c r="N1954" i="2"/>
  <c r="N1951" i="2"/>
  <c r="N1955" i="2"/>
  <c r="I2011" i="2"/>
  <c r="M2011" i="2"/>
  <c r="I1958" i="2"/>
  <c r="M1958" i="2"/>
  <c r="N1997" i="2"/>
  <c r="I2012" i="2"/>
  <c r="M2012" i="2"/>
  <c r="N1942" i="2"/>
  <c r="N1975" i="2"/>
  <c r="D168" i="9" s="1"/>
  <c r="C168" i="9"/>
  <c r="N1987" i="2"/>
  <c r="I1992" i="2"/>
  <c r="M1992" i="2"/>
  <c r="I1999" i="2"/>
  <c r="N1999" i="2" s="1"/>
  <c r="E176" i="9"/>
  <c r="E178" i="9"/>
  <c r="I1928" i="2"/>
  <c r="I1934" i="2"/>
  <c r="N1934" i="2" s="1"/>
  <c r="I1935" i="2"/>
  <c r="N1935" i="2" s="1"/>
  <c r="I1936" i="2"/>
  <c r="N1936" i="2" s="1"/>
  <c r="I1937" i="2"/>
  <c r="N1937" i="2" s="1"/>
  <c r="I1938" i="2"/>
  <c r="N1938" i="2" s="1"/>
  <c r="I1939" i="2"/>
  <c r="N1939" i="2" s="1"/>
  <c r="I1940" i="2"/>
  <c r="N1940" i="2" s="1"/>
  <c r="I1941" i="2"/>
  <c r="N1941" i="2" s="1"/>
  <c r="I1933" i="2"/>
  <c r="N1933" i="2" s="1"/>
  <c r="I1925" i="2"/>
  <c r="I1926" i="2"/>
  <c r="N1926" i="2" s="1"/>
  <c r="I1927" i="2"/>
  <c r="I1929" i="2"/>
  <c r="N1929" i="2" s="1"/>
  <c r="I1930" i="2"/>
  <c r="N1930" i="2" s="1"/>
  <c r="I1931" i="2"/>
  <c r="N1931" i="2" s="1"/>
  <c r="I1932" i="2"/>
  <c r="N1932" i="2" s="1"/>
  <c r="I1912" i="2"/>
  <c r="I1913" i="2"/>
  <c r="N1913" i="2" s="1"/>
  <c r="I1914" i="2"/>
  <c r="N1914" i="2" s="1"/>
  <c r="I1915" i="2"/>
  <c r="N1915" i="2" s="1"/>
  <c r="I1916" i="2"/>
  <c r="N1916" i="2" s="1"/>
  <c r="I1918" i="2"/>
  <c r="N1918" i="2" s="1"/>
  <c r="I1919" i="2"/>
  <c r="N1919" i="2" s="1"/>
  <c r="I1920" i="2"/>
  <c r="N1920" i="2" s="1"/>
  <c r="I1921" i="2"/>
  <c r="N1921" i="2" s="1"/>
  <c r="I1924" i="2"/>
  <c r="N1924" i="2" s="1"/>
  <c r="G1923" i="2"/>
  <c r="G1922" i="2"/>
  <c r="G1917" i="2"/>
  <c r="M1917" i="2" s="1"/>
  <c r="I1911" i="2"/>
  <c r="N1911" i="2" s="1"/>
  <c r="I1910" i="2"/>
  <c r="I1909" i="2"/>
  <c r="N1909" i="2" s="1"/>
  <c r="I1908" i="2"/>
  <c r="N1908" i="2" s="1"/>
  <c r="I1907" i="2"/>
  <c r="N1907" i="2" s="1"/>
  <c r="I1906" i="2"/>
  <c r="I1891" i="2"/>
  <c r="N1891" i="2" s="1"/>
  <c r="I1892" i="2"/>
  <c r="I1893" i="2"/>
  <c r="N1893" i="2" s="1"/>
  <c r="I1894" i="2"/>
  <c r="N1894" i="2" s="1"/>
  <c r="I1895" i="2"/>
  <c r="I1896" i="2"/>
  <c r="I1897" i="2"/>
  <c r="N1897" i="2" s="1"/>
  <c r="I1898" i="2"/>
  <c r="N1898" i="2" s="1"/>
  <c r="I1899" i="2"/>
  <c r="I1900" i="2"/>
  <c r="I1901" i="2"/>
  <c r="N1901" i="2" s="1"/>
  <c r="I1902" i="2"/>
  <c r="N1902" i="2" s="1"/>
  <c r="I1903" i="2"/>
  <c r="N1903" i="2" s="1"/>
  <c r="I1904" i="2"/>
  <c r="N1904" i="2" s="1"/>
  <c r="I1905" i="2"/>
  <c r="N1905" i="2" s="1"/>
  <c r="I1890" i="2"/>
  <c r="K9" i="7"/>
  <c r="K10" i="7"/>
  <c r="K11" i="7"/>
  <c r="K13" i="7"/>
  <c r="M1646" i="2"/>
  <c r="M1479" i="2"/>
  <c r="M1467" i="2"/>
  <c r="M1435" i="2"/>
  <c r="M1424" i="2"/>
  <c r="M1411" i="2"/>
  <c r="M1367" i="2"/>
  <c r="M1361" i="2"/>
  <c r="M1355" i="2"/>
  <c r="M1331" i="2"/>
  <c r="M1325" i="2"/>
  <c r="M1319" i="2"/>
  <c r="M1304" i="2"/>
  <c r="M1295" i="2"/>
  <c r="M1282" i="2"/>
  <c r="M1265" i="2"/>
  <c r="M1257" i="2"/>
  <c r="M1242" i="2"/>
  <c r="M1210" i="2"/>
  <c r="M1665" i="2"/>
  <c r="K1888" i="2"/>
  <c r="M1888" i="2" s="1"/>
  <c r="K1885" i="2"/>
  <c r="M1885" i="2" s="1"/>
  <c r="K1884" i="2"/>
  <c r="M1884" i="2" s="1"/>
  <c r="K1872" i="2"/>
  <c r="M1872" i="2" s="1"/>
  <c r="K1870" i="2"/>
  <c r="M1870" i="2" s="1"/>
  <c r="K1866" i="2"/>
  <c r="M1866" i="2" s="1"/>
  <c r="K1862" i="2"/>
  <c r="M1862" i="2" s="1"/>
  <c r="K1858" i="2"/>
  <c r="M1858" i="2" s="1"/>
  <c r="K1857" i="2"/>
  <c r="M1857" i="2" s="1"/>
  <c r="K1849" i="2"/>
  <c r="M1849" i="2" s="1"/>
  <c r="K1841" i="2"/>
  <c r="M1841" i="2" s="1"/>
  <c r="K1824" i="2"/>
  <c r="M1824" i="2" s="1"/>
  <c r="K1814" i="2"/>
  <c r="M1814" i="2" s="1"/>
  <c r="K1807" i="2"/>
  <c r="M1807" i="2" s="1"/>
  <c r="K1778" i="2"/>
  <c r="M1778" i="2" s="1"/>
  <c r="K1769" i="2"/>
  <c r="M1769" i="2" s="1"/>
  <c r="K1760" i="2"/>
  <c r="M1760" i="2" s="1"/>
  <c r="K1755" i="2"/>
  <c r="M1755" i="2" s="1"/>
  <c r="K1751" i="2"/>
  <c r="M1751" i="2" s="1"/>
  <c r="K1750" i="2"/>
  <c r="M1750" i="2" s="1"/>
  <c r="K1736" i="2"/>
  <c r="M1736" i="2" s="1"/>
  <c r="K1731" i="2"/>
  <c r="M1731" i="2" s="1"/>
  <c r="K1721" i="2"/>
  <c r="M1721" i="2" s="1"/>
  <c r="K1719" i="2"/>
  <c r="M1719" i="2" s="1"/>
  <c r="K1710" i="2"/>
  <c r="M1710" i="2" s="1"/>
  <c r="K1703" i="2"/>
  <c r="M1703" i="2" s="1"/>
  <c r="K1699" i="2"/>
  <c r="M1699" i="2" s="1"/>
  <c r="K1693" i="2"/>
  <c r="M1693" i="2" s="1"/>
  <c r="K1692" i="2"/>
  <c r="M1692" i="2" s="1"/>
  <c r="K1691" i="2"/>
  <c r="M1691" i="2" s="1"/>
  <c r="K1687" i="2"/>
  <c r="M1687" i="2" s="1"/>
  <c r="K1680" i="2"/>
  <c r="M1680" i="2" s="1"/>
  <c r="K1676" i="2"/>
  <c r="M1676" i="2" s="1"/>
  <c r="K1668" i="2"/>
  <c r="I1887" i="2"/>
  <c r="N1887" i="2" s="1"/>
  <c r="I1888" i="2"/>
  <c r="I1889" i="2"/>
  <c r="N1889" i="2" s="1"/>
  <c r="I1885" i="2"/>
  <c r="N1885" i="2" s="1"/>
  <c r="I1884" i="2"/>
  <c r="N1884" i="2" s="1"/>
  <c r="I1883" i="2"/>
  <c r="N1883" i="2" s="1"/>
  <c r="I1882" i="2"/>
  <c r="G1886" i="2"/>
  <c r="I1881" i="2"/>
  <c r="N1881" i="2" s="1"/>
  <c r="I1880" i="2"/>
  <c r="N1880" i="2" s="1"/>
  <c r="I1879" i="2"/>
  <c r="I1878" i="2"/>
  <c r="N1878" i="2" s="1"/>
  <c r="G1877" i="2"/>
  <c r="G1876" i="2"/>
  <c r="G1871" i="2"/>
  <c r="I1871" i="2" s="1"/>
  <c r="I1867" i="2"/>
  <c r="I1868" i="2"/>
  <c r="I1869" i="2"/>
  <c r="N1869" i="2" s="1"/>
  <c r="I1870" i="2"/>
  <c r="N1870" i="2" s="1"/>
  <c r="I1872" i="2"/>
  <c r="I1873" i="2"/>
  <c r="N1873" i="2" s="1"/>
  <c r="I1874" i="2"/>
  <c r="N1874" i="2" s="1"/>
  <c r="I1875" i="2"/>
  <c r="N1875" i="2" s="1"/>
  <c r="I1859" i="2"/>
  <c r="I1860" i="2"/>
  <c r="N1860" i="2" s="1"/>
  <c r="I1861" i="2"/>
  <c r="N1861" i="2" s="1"/>
  <c r="I1862" i="2"/>
  <c r="I1863" i="2"/>
  <c r="N1863" i="2" s="1"/>
  <c r="I1864" i="2"/>
  <c r="N1864" i="2" s="1"/>
  <c r="I1866" i="2"/>
  <c r="G1865" i="2"/>
  <c r="I1858" i="2"/>
  <c r="I1857" i="2"/>
  <c r="I1856" i="2"/>
  <c r="I1855" i="2"/>
  <c r="I1854" i="2"/>
  <c r="I1853" i="2"/>
  <c r="N1853" i="2" s="1"/>
  <c r="I1852" i="2"/>
  <c r="N1852" i="2" s="1"/>
  <c r="I1851" i="2"/>
  <c r="I1845" i="2"/>
  <c r="I1846" i="2"/>
  <c r="N1846" i="2" s="1"/>
  <c r="I1847" i="2"/>
  <c r="N1847" i="2" s="1"/>
  <c r="I1848" i="2"/>
  <c r="N1848" i="2" s="1"/>
  <c r="I1849" i="2"/>
  <c r="I1850" i="2"/>
  <c r="N1850" i="2" s="1"/>
  <c r="I1844" i="2"/>
  <c r="I1840" i="2"/>
  <c r="I1841" i="2"/>
  <c r="I1842" i="2"/>
  <c r="N1842" i="2" s="1"/>
  <c r="I1843" i="2"/>
  <c r="N1843" i="2" s="1"/>
  <c r="I1835" i="2"/>
  <c r="I1837" i="2"/>
  <c r="I1839" i="2"/>
  <c r="N1839" i="2" s="1"/>
  <c r="G1838" i="2"/>
  <c r="G1836" i="2"/>
  <c r="M1836" i="2" s="1"/>
  <c r="I1829" i="2"/>
  <c r="N1829" i="2" s="1"/>
  <c r="I1830" i="2"/>
  <c r="N1830" i="2" s="1"/>
  <c r="I1831" i="2"/>
  <c r="N1831" i="2" s="1"/>
  <c r="I1832" i="2"/>
  <c r="N1832" i="2" s="1"/>
  <c r="I1833" i="2"/>
  <c r="I1834" i="2"/>
  <c r="I1827" i="2"/>
  <c r="N1827" i="2" s="1"/>
  <c r="I1826" i="2"/>
  <c r="N1826" i="2" s="1"/>
  <c r="I1825" i="2"/>
  <c r="N1825" i="2" s="1"/>
  <c r="G1828" i="2"/>
  <c r="I1818" i="2"/>
  <c r="I1819" i="2"/>
  <c r="N1819" i="2" s="1"/>
  <c r="I1820" i="2"/>
  <c r="N1820" i="2" s="1"/>
  <c r="I1821" i="2"/>
  <c r="I1822" i="2"/>
  <c r="N1822" i="2" s="1"/>
  <c r="I1823" i="2"/>
  <c r="N1823" i="2" s="1"/>
  <c r="I1824" i="2"/>
  <c r="I1817" i="2"/>
  <c r="N1817" i="2" s="1"/>
  <c r="I1816" i="2"/>
  <c r="I1815" i="2"/>
  <c r="I1805" i="2"/>
  <c r="I1806" i="2"/>
  <c r="N1806" i="2" s="1"/>
  <c r="I1807" i="2"/>
  <c r="I1809" i="2"/>
  <c r="N1809" i="2" s="1"/>
  <c r="I1810" i="2"/>
  <c r="N1810" i="2" s="1"/>
  <c r="I1811" i="2"/>
  <c r="N1811" i="2" s="1"/>
  <c r="I1812" i="2"/>
  <c r="N1812" i="2" s="1"/>
  <c r="I1813" i="2"/>
  <c r="N1813" i="2" s="1"/>
  <c r="I1814" i="2"/>
  <c r="G1808" i="2"/>
  <c r="I1795" i="2"/>
  <c r="N1795" i="2" s="1"/>
  <c r="I1796" i="2"/>
  <c r="N1796" i="2" s="1"/>
  <c r="I1797" i="2"/>
  <c r="N1797" i="2" s="1"/>
  <c r="I1800" i="2"/>
  <c r="N1800" i="2" s="1"/>
  <c r="I1801" i="2"/>
  <c r="N1801" i="2" s="1"/>
  <c r="I1802" i="2"/>
  <c r="N1802" i="2" s="1"/>
  <c r="I1803" i="2"/>
  <c r="N1803" i="2" s="1"/>
  <c r="I1804" i="2"/>
  <c r="I1794" i="2"/>
  <c r="N1794" i="2" s="1"/>
  <c r="G1799" i="2"/>
  <c r="G1798" i="2"/>
  <c r="I1782" i="2"/>
  <c r="N1782" i="2" s="1"/>
  <c r="I1783" i="2"/>
  <c r="N1783" i="2" s="1"/>
  <c r="I1784" i="2"/>
  <c r="N1784" i="2" s="1"/>
  <c r="I1785" i="2"/>
  <c r="N1785" i="2" s="1"/>
  <c r="I1787" i="2"/>
  <c r="N1787" i="2" s="1"/>
  <c r="I1788" i="2"/>
  <c r="N1788" i="2" s="1"/>
  <c r="I1789" i="2"/>
  <c r="N1789" i="2" s="1"/>
  <c r="I1790" i="2"/>
  <c r="N1790" i="2" s="1"/>
  <c r="I1791" i="2"/>
  <c r="N1791" i="2" s="1"/>
  <c r="I1792" i="2"/>
  <c r="N1792" i="2" s="1"/>
  <c r="I1793" i="2"/>
  <c r="N1793" i="2" s="1"/>
  <c r="I1781" i="2"/>
  <c r="G1786" i="2"/>
  <c r="C166" i="9" l="1"/>
  <c r="N1892" i="2"/>
  <c r="F8" i="8" s="1"/>
  <c r="E8" i="8"/>
  <c r="N1841" i="2"/>
  <c r="C171" i="9"/>
  <c r="D33" i="7"/>
  <c r="N1849" i="2"/>
  <c r="C169" i="9"/>
  <c r="N1807" i="2"/>
  <c r="N1958" i="2"/>
  <c r="D167" i="9" s="1"/>
  <c r="N1824" i="2"/>
  <c r="N1858" i="2"/>
  <c r="N1872" i="2"/>
  <c r="N2012" i="2"/>
  <c r="N2011" i="2"/>
  <c r="I1799" i="2"/>
  <c r="M1799" i="2"/>
  <c r="N1815" i="2"/>
  <c r="D28" i="7"/>
  <c r="C140" i="9"/>
  <c r="I1836" i="2"/>
  <c r="N1836" i="2" s="1"/>
  <c r="N1859" i="2"/>
  <c r="I1877" i="2"/>
  <c r="M1877" i="2"/>
  <c r="I1922" i="2"/>
  <c r="M1922" i="2"/>
  <c r="N1912" i="2"/>
  <c r="C170" i="9"/>
  <c r="I1838" i="2"/>
  <c r="M1838" i="2"/>
  <c r="N1835" i="2"/>
  <c r="N1840" i="2"/>
  <c r="D146" i="9" s="1"/>
  <c r="C146" i="9"/>
  <c r="N1851" i="2"/>
  <c r="D148" i="9" s="1"/>
  <c r="C148" i="9"/>
  <c r="I1865" i="2"/>
  <c r="C151" i="9" s="1"/>
  <c r="M1865" i="2"/>
  <c r="N1862" i="2"/>
  <c r="N1867" i="2"/>
  <c r="C152" i="9"/>
  <c r="I1886" i="2"/>
  <c r="M1886" i="2"/>
  <c r="N1890" i="2"/>
  <c r="C160" i="9"/>
  <c r="N1906" i="2"/>
  <c r="D161" i="9" s="1"/>
  <c r="C161" i="9"/>
  <c r="N1910" i="2"/>
  <c r="D162" i="9" s="1"/>
  <c r="C162" i="9"/>
  <c r="I1923" i="2"/>
  <c r="M1923" i="2"/>
  <c r="I1786" i="2"/>
  <c r="M1786" i="2"/>
  <c r="I1808" i="2"/>
  <c r="C135" i="9" s="1"/>
  <c r="M1808" i="2"/>
  <c r="I1828" i="2"/>
  <c r="M1828" i="2"/>
  <c r="N1844" i="2"/>
  <c r="C147" i="9"/>
  <c r="N1856" i="2"/>
  <c r="C149" i="9"/>
  <c r="N1866" i="2"/>
  <c r="N1879" i="2"/>
  <c r="D154" i="9" s="1"/>
  <c r="C154" i="9"/>
  <c r="N1882" i="2"/>
  <c r="C155" i="9"/>
  <c r="N1781" i="2"/>
  <c r="I1798" i="2"/>
  <c r="M1798" i="2"/>
  <c r="N1814" i="2"/>
  <c r="N1805" i="2"/>
  <c r="N1857" i="2"/>
  <c r="I1876" i="2"/>
  <c r="M1876" i="2"/>
  <c r="N1888" i="2"/>
  <c r="I1917" i="2"/>
  <c r="N1917" i="2" s="1"/>
  <c r="N1925" i="2"/>
  <c r="D164" i="9" s="1"/>
  <c r="C164" i="9"/>
  <c r="N1992" i="2"/>
  <c r="D169" i="9" s="1"/>
  <c r="D166" i="9"/>
  <c r="D170" i="9"/>
  <c r="E168" i="9"/>
  <c r="C167" i="9"/>
  <c r="K12" i="7"/>
  <c r="I1771" i="2"/>
  <c r="I1772" i="2"/>
  <c r="N1772" i="2" s="1"/>
  <c r="I1773" i="2"/>
  <c r="N1773" i="2" s="1"/>
  <c r="I1774" i="2"/>
  <c r="N1774" i="2" s="1"/>
  <c r="I1775" i="2"/>
  <c r="I1776" i="2"/>
  <c r="N1776" i="2" s="1"/>
  <c r="I1777" i="2"/>
  <c r="N1777" i="2" s="1"/>
  <c r="I1778" i="2"/>
  <c r="N1778" i="2" s="1"/>
  <c r="I1779" i="2"/>
  <c r="I1780" i="2"/>
  <c r="N1780" i="2" s="1"/>
  <c r="I1762" i="2"/>
  <c r="I1763" i="2"/>
  <c r="N1763" i="2" s="1"/>
  <c r="I1764" i="2"/>
  <c r="N1764" i="2" s="1"/>
  <c r="I1765" i="2"/>
  <c r="I1766" i="2"/>
  <c r="I1767" i="2"/>
  <c r="I1768" i="2"/>
  <c r="N1768" i="2" s="1"/>
  <c r="I1769" i="2"/>
  <c r="N1769" i="2" s="1"/>
  <c r="I1770" i="2"/>
  <c r="N1770" i="2" s="1"/>
  <c r="I1756" i="2"/>
  <c r="I1757" i="2"/>
  <c r="N1757" i="2" s="1"/>
  <c r="I1758" i="2"/>
  <c r="N1758" i="2" s="1"/>
  <c r="I1759" i="2"/>
  <c r="N1759" i="2" s="1"/>
  <c r="I1760" i="2"/>
  <c r="N1760" i="2" s="1"/>
  <c r="I1761" i="2"/>
  <c r="N1761" i="2" s="1"/>
  <c r="G1741" i="2"/>
  <c r="M1741" i="2" s="1"/>
  <c r="I1736" i="2"/>
  <c r="I1737" i="2"/>
  <c r="N1737" i="2" s="1"/>
  <c r="I1738" i="2"/>
  <c r="N1738" i="2" s="1"/>
  <c r="I1739" i="2"/>
  <c r="N1739" i="2" s="1"/>
  <c r="I1740" i="2"/>
  <c r="N1740" i="2" s="1"/>
  <c r="I1742" i="2"/>
  <c r="N1742" i="2" s="1"/>
  <c r="I1743" i="2"/>
  <c r="N1743" i="2" s="1"/>
  <c r="I1744" i="2"/>
  <c r="N1744" i="2" s="1"/>
  <c r="I1745" i="2"/>
  <c r="I1746" i="2"/>
  <c r="N1746" i="2" s="1"/>
  <c r="I1747" i="2"/>
  <c r="N1747" i="2" s="1"/>
  <c r="I1748" i="2"/>
  <c r="N1748" i="2" s="1"/>
  <c r="I1749" i="2"/>
  <c r="N1749" i="2" s="1"/>
  <c r="I1750" i="2"/>
  <c r="N1750" i="2" s="1"/>
  <c r="I1751" i="2"/>
  <c r="N1751" i="2" s="1"/>
  <c r="I1752" i="2"/>
  <c r="N1752" i="2" s="1"/>
  <c r="I1753" i="2"/>
  <c r="N1753" i="2" s="1"/>
  <c r="I1754" i="2"/>
  <c r="N1754" i="2" s="1"/>
  <c r="I1755" i="2"/>
  <c r="N1755" i="2" s="1"/>
  <c r="I1716" i="2"/>
  <c r="I1717" i="2"/>
  <c r="N1717" i="2" s="1"/>
  <c r="I1719" i="2"/>
  <c r="N1719" i="2" s="1"/>
  <c r="I1720" i="2"/>
  <c r="I1721" i="2"/>
  <c r="N1721" i="2" s="1"/>
  <c r="I1722" i="2"/>
  <c r="N1722" i="2" s="1"/>
  <c r="I1723" i="2"/>
  <c r="N1723" i="2" s="1"/>
  <c r="I1724" i="2"/>
  <c r="N1724" i="2" s="1"/>
  <c r="I1725" i="2"/>
  <c r="N1725" i="2" s="1"/>
  <c r="I1726" i="2"/>
  <c r="I1727" i="2"/>
  <c r="N1727" i="2" s="1"/>
  <c r="I1728" i="2"/>
  <c r="N1728" i="2" s="1"/>
  <c r="I1729" i="2"/>
  <c r="N1729" i="2" s="1"/>
  <c r="I1730" i="2"/>
  <c r="N1730" i="2" s="1"/>
  <c r="I1731" i="2"/>
  <c r="N1731" i="2" s="1"/>
  <c r="I1732" i="2"/>
  <c r="I1733" i="2"/>
  <c r="N1733" i="2" s="1"/>
  <c r="I1734" i="2"/>
  <c r="N1734" i="2" s="1"/>
  <c r="I1735" i="2"/>
  <c r="N1735" i="2" s="1"/>
  <c r="G1718" i="2"/>
  <c r="E166" i="9" l="1"/>
  <c r="D147" i="9"/>
  <c r="E147" i="9" s="1"/>
  <c r="N1720" i="2"/>
  <c r="F7" i="8" s="1"/>
  <c r="E7" i="8"/>
  <c r="C134" i="9"/>
  <c r="E169" i="9"/>
  <c r="E170" i="9"/>
  <c r="D152" i="9"/>
  <c r="E152" i="9" s="1"/>
  <c r="C145" i="9"/>
  <c r="N1828" i="2"/>
  <c r="D144" i="9" s="1"/>
  <c r="N1786" i="2"/>
  <c r="N1877" i="2"/>
  <c r="D171" i="9"/>
  <c r="E171" i="9" s="1"/>
  <c r="D133" i="9"/>
  <c r="E33" i="7"/>
  <c r="F33" i="7" s="1"/>
  <c r="N1808" i="2"/>
  <c r="D135" i="9" s="1"/>
  <c r="E135" i="9" s="1"/>
  <c r="N1923" i="2"/>
  <c r="E167" i="9"/>
  <c r="E162" i="9"/>
  <c r="E161" i="9"/>
  <c r="E154" i="9"/>
  <c r="E148" i="9"/>
  <c r="N1736" i="2"/>
  <c r="N1762" i="2"/>
  <c r="D132" i="9" s="1"/>
  <c r="C132" i="9"/>
  <c r="I1718" i="2"/>
  <c r="M1718" i="2"/>
  <c r="C133" i="9"/>
  <c r="D29" i="7"/>
  <c r="I1741" i="2"/>
  <c r="N1741" i="2" s="1"/>
  <c r="N1756" i="2"/>
  <c r="D131" i="9" s="1"/>
  <c r="C131" i="9"/>
  <c r="N1798" i="2"/>
  <c r="N1886" i="2"/>
  <c r="D155" i="9" s="1"/>
  <c r="E155" i="9" s="1"/>
  <c r="E28" i="7"/>
  <c r="F28" i="7" s="1"/>
  <c r="D140" i="9"/>
  <c r="E140" i="9" s="1"/>
  <c r="D149" i="9"/>
  <c r="E149" i="9" s="1"/>
  <c r="D32" i="7"/>
  <c r="D37" i="7" s="1"/>
  <c r="I7" i="7" s="1"/>
  <c r="N1865" i="2"/>
  <c r="E146" i="9"/>
  <c r="N1838" i="2"/>
  <c r="N1922" i="2"/>
  <c r="D30" i="7"/>
  <c r="E164" i="9"/>
  <c r="N1876" i="2"/>
  <c r="C153" i="9"/>
  <c r="D160" i="9"/>
  <c r="C144" i="9"/>
  <c r="C163" i="9"/>
  <c r="C189" i="9" s="1"/>
  <c r="N1799" i="2"/>
  <c r="N1716" i="2"/>
  <c r="I1709" i="2"/>
  <c r="N1709" i="2" s="1"/>
  <c r="I1710" i="2"/>
  <c r="N1710" i="2" s="1"/>
  <c r="I1711" i="2"/>
  <c r="N1711" i="2" s="1"/>
  <c r="I1712" i="2"/>
  <c r="N1712" i="2" s="1"/>
  <c r="I1713" i="2"/>
  <c r="I1714" i="2"/>
  <c r="N1714" i="2" s="1"/>
  <c r="I1715" i="2"/>
  <c r="N1715" i="2" s="1"/>
  <c r="G1708" i="2"/>
  <c r="M1708" i="2" s="1"/>
  <c r="I1699" i="2"/>
  <c r="I1700" i="2"/>
  <c r="N1700" i="2" s="1"/>
  <c r="I1701" i="2"/>
  <c r="N1701" i="2" s="1"/>
  <c r="I1702" i="2"/>
  <c r="N1702" i="2" s="1"/>
  <c r="I1703" i="2"/>
  <c r="N1703" i="2" s="1"/>
  <c r="I1704" i="2"/>
  <c r="N1704" i="2" s="1"/>
  <c r="I1706" i="2"/>
  <c r="N1706" i="2" s="1"/>
  <c r="G1705" i="2"/>
  <c r="M1705" i="2" s="1"/>
  <c r="G1707" i="2"/>
  <c r="I1682" i="2"/>
  <c r="I1683" i="2"/>
  <c r="I1684" i="2"/>
  <c r="N1684" i="2" s="1"/>
  <c r="I1685" i="2"/>
  <c r="N1685" i="2" s="1"/>
  <c r="I1686" i="2"/>
  <c r="I1687" i="2"/>
  <c r="N1687" i="2" s="1"/>
  <c r="I1689" i="2"/>
  <c r="N1689" i="2" s="1"/>
  <c r="I1691" i="2"/>
  <c r="N1691" i="2" s="1"/>
  <c r="I1692" i="2"/>
  <c r="N1692" i="2" s="1"/>
  <c r="I1693" i="2"/>
  <c r="N1693" i="2" s="1"/>
  <c r="I1694" i="2"/>
  <c r="N1694" i="2" s="1"/>
  <c r="I1695" i="2"/>
  <c r="N1695" i="2" s="1"/>
  <c r="I1696" i="2"/>
  <c r="N1696" i="2" s="1"/>
  <c r="I1697" i="2"/>
  <c r="N1697" i="2" s="1"/>
  <c r="I1698" i="2"/>
  <c r="N1698" i="2" s="1"/>
  <c r="G1690" i="2"/>
  <c r="G1688" i="2"/>
  <c r="I1678" i="2"/>
  <c r="I1679" i="2"/>
  <c r="N1679" i="2" s="1"/>
  <c r="I1680" i="2"/>
  <c r="N1680" i="2" s="1"/>
  <c r="I1681" i="2"/>
  <c r="N1681" i="2" s="1"/>
  <c r="I1677" i="2"/>
  <c r="N1677" i="2" s="1"/>
  <c r="I1676" i="2"/>
  <c r="N1676" i="2" s="1"/>
  <c r="I1675" i="2"/>
  <c r="N1675" i="2" s="1"/>
  <c r="I1674" i="2"/>
  <c r="N1674" i="2" s="1"/>
  <c r="I1673" i="2"/>
  <c r="N1673" i="2" s="1"/>
  <c r="I1672" i="2"/>
  <c r="E29" i="7" l="1"/>
  <c r="F29" i="7" s="1"/>
  <c r="I1705" i="2"/>
  <c r="D163" i="9"/>
  <c r="E163" i="9" s="1"/>
  <c r="D153" i="9"/>
  <c r="E153" i="9" s="1"/>
  <c r="E133" i="9"/>
  <c r="D134" i="9"/>
  <c r="E134" i="9" s="1"/>
  <c r="E30" i="7"/>
  <c r="F30" i="7" s="1"/>
  <c r="N1705" i="2"/>
  <c r="N1718" i="2"/>
  <c r="E26" i="7" s="1"/>
  <c r="D151" i="9"/>
  <c r="E151" i="9" s="1"/>
  <c r="E32" i="7"/>
  <c r="F32" i="7" s="1"/>
  <c r="E131" i="9"/>
  <c r="D145" i="9"/>
  <c r="E145" i="9" s="1"/>
  <c r="E27" i="7"/>
  <c r="D130" i="9"/>
  <c r="I1688" i="2"/>
  <c r="M1688" i="2"/>
  <c r="N1682" i="2"/>
  <c r="I1708" i="2"/>
  <c r="I1690" i="2"/>
  <c r="M1690" i="2"/>
  <c r="I1707" i="2"/>
  <c r="M1707" i="2"/>
  <c r="E132" i="9"/>
  <c r="C128" i="9"/>
  <c r="C122" i="9"/>
  <c r="N1699" i="2"/>
  <c r="E160" i="9"/>
  <c r="E144" i="9"/>
  <c r="C130" i="9"/>
  <c r="D26" i="7"/>
  <c r="D27" i="7"/>
  <c r="N1672" i="2"/>
  <c r="E7" i="7"/>
  <c r="J2" i="7" s="1"/>
  <c r="M1306" i="2"/>
  <c r="M1305" i="2"/>
  <c r="M1303" i="2"/>
  <c r="M1299" i="2"/>
  <c r="M1292" i="2"/>
  <c r="M1291" i="2"/>
  <c r="M1281" i="2"/>
  <c r="M1276" i="2"/>
  <c r="M1268" i="2"/>
  <c r="M1264" i="2"/>
  <c r="M1263" i="2"/>
  <c r="L345" i="1"/>
  <c r="L346" i="1"/>
  <c r="L347" i="1"/>
  <c r="L348" i="1"/>
  <c r="M1666" i="2"/>
  <c r="M1663" i="2"/>
  <c r="M1661" i="2"/>
  <c r="M1660" i="2"/>
  <c r="M1659" i="2"/>
  <c r="M1658" i="2"/>
  <c r="M1657" i="2"/>
  <c r="M1656" i="2"/>
  <c r="M1655" i="2"/>
  <c r="M1654" i="2"/>
  <c r="M1653" i="2"/>
  <c r="M1652" i="2"/>
  <c r="M1649" i="2"/>
  <c r="M1645" i="2"/>
  <c r="M1643" i="2"/>
  <c r="M1638" i="2"/>
  <c r="M1637" i="2"/>
  <c r="M1628" i="2"/>
  <c r="M1627" i="2"/>
  <c r="M1624" i="2"/>
  <c r="M1622" i="2"/>
  <c r="M1620" i="2"/>
  <c r="M1617" i="2"/>
  <c r="M1616" i="2"/>
  <c r="M1614" i="2"/>
  <c r="M1612" i="2"/>
  <c r="M1611" i="2"/>
  <c r="M1609" i="2"/>
  <c r="M1606" i="2"/>
  <c r="M1605" i="2"/>
  <c r="M1602" i="2"/>
  <c r="M1596" i="2"/>
  <c r="M1592" i="2"/>
  <c r="M1591" i="2"/>
  <c r="M1584" i="2"/>
  <c r="M1582" i="2"/>
  <c r="M1580" i="2"/>
  <c r="M1579" i="2"/>
  <c r="M1576" i="2"/>
  <c r="M1572" i="2"/>
  <c r="M1571" i="2"/>
  <c r="M1570" i="2"/>
  <c r="M1568" i="2"/>
  <c r="M1565" i="2"/>
  <c r="M1564" i="2"/>
  <c r="M1563" i="2"/>
  <c r="M1562" i="2"/>
  <c r="M1557" i="2"/>
  <c r="M1555" i="2"/>
  <c r="M1554" i="2"/>
  <c r="M1551" i="2"/>
  <c r="M1549" i="2"/>
  <c r="M1545" i="2"/>
  <c r="M1544" i="2"/>
  <c r="M1543" i="2"/>
  <c r="M1540" i="2"/>
  <c r="M1539" i="2"/>
  <c r="M1538" i="2"/>
  <c r="M1537" i="2"/>
  <c r="M1535" i="2"/>
  <c r="M1533" i="2"/>
  <c r="M1530" i="2"/>
  <c r="M1526" i="2"/>
  <c r="M1523" i="2"/>
  <c r="M1522" i="2"/>
  <c r="M1521" i="2"/>
  <c r="M1520" i="2"/>
  <c r="M1518" i="2"/>
  <c r="M1517" i="2"/>
  <c r="M1516" i="2"/>
  <c r="M1515" i="2"/>
  <c r="M1514" i="2"/>
  <c r="M1512" i="2"/>
  <c r="M1511" i="2"/>
  <c r="M1508" i="2"/>
  <c r="M1506" i="2"/>
  <c r="M1504" i="2"/>
  <c r="M1503" i="2"/>
  <c r="M1502" i="2"/>
  <c r="M1501" i="2"/>
  <c r="M1497" i="2"/>
  <c r="M1494" i="2"/>
  <c r="M1493" i="2"/>
  <c r="M1490" i="2"/>
  <c r="M1486" i="2"/>
  <c r="M1485" i="2"/>
  <c r="M1484" i="2"/>
  <c r="M1483" i="2"/>
  <c r="M1482" i="2"/>
  <c r="M1480" i="2"/>
  <c r="M1477" i="2"/>
  <c r="M1475" i="2"/>
  <c r="M1474" i="2"/>
  <c r="M1465" i="2"/>
  <c r="M1464" i="2"/>
  <c r="M1463" i="2"/>
  <c r="M1462" i="2"/>
  <c r="M1461" i="2"/>
  <c r="M1460" i="2"/>
  <c r="M1459" i="2"/>
  <c r="M1455" i="2"/>
  <c r="M1452" i="2"/>
  <c r="M1451" i="2"/>
  <c r="M1450" i="2"/>
  <c r="M1447" i="2"/>
  <c r="M1446" i="2"/>
  <c r="M1445" i="2"/>
  <c r="M1444" i="2"/>
  <c r="M1443" i="2"/>
  <c r="M1439" i="2"/>
  <c r="M1437" i="2"/>
  <c r="M1434" i="2"/>
  <c r="M1429" i="2"/>
  <c r="M1428" i="2"/>
  <c r="M1427" i="2"/>
  <c r="M1426" i="2"/>
  <c r="M1425" i="2"/>
  <c r="M1423" i="2"/>
  <c r="M1421" i="2"/>
  <c r="M1420" i="2"/>
  <c r="M1418" i="2"/>
  <c r="M1417" i="2"/>
  <c r="M1416" i="2"/>
  <c r="M1415" i="2"/>
  <c r="M1414" i="2"/>
  <c r="M1413" i="2"/>
  <c r="M1412" i="2"/>
  <c r="M1410" i="2"/>
  <c r="M1409" i="2"/>
  <c r="M1408" i="2"/>
  <c r="M1406" i="2"/>
  <c r="M1405" i="2"/>
  <c r="M1402" i="2"/>
  <c r="M1401" i="2"/>
  <c r="M1400" i="2"/>
  <c r="M1399" i="2"/>
  <c r="M1398" i="2"/>
  <c r="M1392" i="2"/>
  <c r="M1389" i="2"/>
  <c r="M1386" i="2"/>
  <c r="M1384" i="2"/>
  <c r="M1381" i="2"/>
  <c r="M1380" i="2"/>
  <c r="M1379" i="2"/>
  <c r="M1378" i="2"/>
  <c r="M1375" i="2"/>
  <c r="M1371" i="2"/>
  <c r="M1370" i="2"/>
  <c r="M1369" i="2"/>
  <c r="M1366" i="2"/>
  <c r="M1364" i="2"/>
  <c r="M1363" i="2"/>
  <c r="M1362" i="2"/>
  <c r="M1360" i="2"/>
  <c r="M1354" i="2"/>
  <c r="M1351" i="2"/>
  <c r="M1349" i="2"/>
  <c r="M1343" i="2"/>
  <c r="M1341" i="2"/>
  <c r="M1340" i="2"/>
  <c r="M1339" i="2"/>
  <c r="M1336" i="2"/>
  <c r="M1335" i="2"/>
  <c r="M1334" i="2"/>
  <c r="M1333" i="2"/>
  <c r="M1332" i="2"/>
  <c r="M1327" i="2"/>
  <c r="M1642" i="2"/>
  <c r="M1629" i="2"/>
  <c r="M1623" i="2"/>
  <c r="M1567" i="2"/>
  <c r="M1634" i="2"/>
  <c r="M1633" i="2"/>
  <c r="M1619" i="2"/>
  <c r="M1610" i="2"/>
  <c r="M1590" i="2"/>
  <c r="M1588" i="2"/>
  <c r="M1587" i="2"/>
  <c r="M1573" i="2"/>
  <c r="M1548" i="2"/>
  <c r="M1542" i="2"/>
  <c r="M1505" i="2"/>
  <c r="M1466" i="2"/>
  <c r="M1442" i="2"/>
  <c r="M1432" i="2"/>
  <c r="M1431" i="2"/>
  <c r="M1492" i="2"/>
  <c r="M1430" i="2"/>
  <c r="M1647" i="2"/>
  <c r="M1635" i="2"/>
  <c r="M1603" i="2"/>
  <c r="M1585" i="2"/>
  <c r="M1559" i="2"/>
  <c r="M1550" i="2"/>
  <c r="M1534" i="2"/>
  <c r="M1458" i="2"/>
  <c r="M1433" i="2"/>
  <c r="M1403" i="2"/>
  <c r="M1648" i="2"/>
  <c r="M1560" i="2"/>
  <c r="M1472" i="2"/>
  <c r="M1438" i="2"/>
  <c r="M1668" i="2"/>
  <c r="K1644" i="2"/>
  <c r="M1644" i="2" s="1"/>
  <c r="K1639" i="2"/>
  <c r="M1639" i="2" s="1"/>
  <c r="K1636" i="2"/>
  <c r="M1636" i="2" s="1"/>
  <c r="K1575" i="2"/>
  <c r="M1575" i="2" s="1"/>
  <c r="K1566" i="2"/>
  <c r="M1566" i="2" s="1"/>
  <c r="K1558" i="2"/>
  <c r="M1558" i="2" s="1"/>
  <c r="K1553" i="2"/>
  <c r="M1553" i="2" s="1"/>
  <c r="K1510" i="2"/>
  <c r="M1510" i="2" s="1"/>
  <c r="K1507" i="2"/>
  <c r="M1507" i="2" s="1"/>
  <c r="K1489" i="2"/>
  <c r="M1489" i="2" s="1"/>
  <c r="K1476" i="2"/>
  <c r="M1476" i="2" s="1"/>
  <c r="K1471" i="2"/>
  <c r="M1471" i="2" s="1"/>
  <c r="K1470" i="2"/>
  <c r="M1470" i="2" s="1"/>
  <c r="K1449" i="2"/>
  <c r="M1449" i="2" s="1"/>
  <c r="K1436" i="2"/>
  <c r="M1436" i="2" s="1"/>
  <c r="K1407" i="2"/>
  <c r="M1407" i="2" s="1"/>
  <c r="M1586" i="2"/>
  <c r="M1569" i="2"/>
  <c r="M1536" i="2"/>
  <c r="M1528" i="2"/>
  <c r="M1525" i="2"/>
  <c r="M1422" i="2"/>
  <c r="M1664" i="2"/>
  <c r="M1640" i="2"/>
  <c r="M1632" i="2"/>
  <c r="M1615" i="2"/>
  <c r="M1608" i="2"/>
  <c r="M1599" i="2"/>
  <c r="M1598" i="2"/>
  <c r="M1597" i="2"/>
  <c r="M1593" i="2"/>
  <c r="M1556" i="2"/>
  <c r="M1529" i="2"/>
  <c r="M1513" i="2"/>
  <c r="M1509" i="2"/>
  <c r="M1500" i="2"/>
  <c r="M1491" i="2"/>
  <c r="M1481" i="2"/>
  <c r="M1473" i="2"/>
  <c r="M1456" i="2"/>
  <c r="M1448" i="2"/>
  <c r="G1667" i="2"/>
  <c r="M1667" i="2" s="1"/>
  <c r="I1668" i="2"/>
  <c r="I1670" i="2"/>
  <c r="I1671" i="2"/>
  <c r="I1666" i="2"/>
  <c r="I1665" i="2"/>
  <c r="N1665" i="2" s="1"/>
  <c r="I1664" i="2"/>
  <c r="I1663" i="2"/>
  <c r="I1662" i="2"/>
  <c r="I1661" i="2"/>
  <c r="I1660" i="2"/>
  <c r="I1659" i="2"/>
  <c r="I1658" i="2"/>
  <c r="I1657" i="2"/>
  <c r="I1656" i="2"/>
  <c r="I1655" i="2"/>
  <c r="I1654" i="2"/>
  <c r="G1669" i="2"/>
  <c r="I1669" i="2" s="1"/>
  <c r="I1639" i="2"/>
  <c r="I1640" i="2"/>
  <c r="I1641" i="2"/>
  <c r="I1642" i="2"/>
  <c r="I1643" i="2"/>
  <c r="I1644" i="2"/>
  <c r="I1645" i="2"/>
  <c r="I1646" i="2"/>
  <c r="N1646" i="2" s="1"/>
  <c r="I1647" i="2"/>
  <c r="I1648" i="2"/>
  <c r="I1649" i="2"/>
  <c r="I1650" i="2"/>
  <c r="I1651" i="2"/>
  <c r="I1652" i="2"/>
  <c r="I1653" i="2"/>
  <c r="I1638" i="2"/>
  <c r="I1627" i="2"/>
  <c r="I1628" i="2"/>
  <c r="I1629" i="2"/>
  <c r="I1632" i="2"/>
  <c r="I1633" i="2"/>
  <c r="I1634" i="2"/>
  <c r="I1635" i="2"/>
  <c r="I1636" i="2"/>
  <c r="I1637" i="2"/>
  <c r="G1631" i="2"/>
  <c r="M1631" i="2" s="1"/>
  <c r="G1630" i="2"/>
  <c r="M1630" i="2" s="1"/>
  <c r="G1626" i="2"/>
  <c r="M1626" i="2" s="1"/>
  <c r="G1621" i="2"/>
  <c r="I1621" i="2" s="1"/>
  <c r="I1614" i="2"/>
  <c r="I1615" i="2"/>
  <c r="I1616" i="2"/>
  <c r="I1617" i="2"/>
  <c r="I1618" i="2"/>
  <c r="I1619" i="2"/>
  <c r="I1620" i="2"/>
  <c r="I1622" i="2"/>
  <c r="I1623" i="2"/>
  <c r="I1624" i="2"/>
  <c r="I1625" i="2"/>
  <c r="I1612" i="2"/>
  <c r="I1611" i="2"/>
  <c r="I1610" i="2"/>
  <c r="G1613" i="2"/>
  <c r="M1613" i="2" s="1"/>
  <c r="I1598" i="2"/>
  <c r="I1599" i="2"/>
  <c r="I1600" i="2"/>
  <c r="I1602" i="2"/>
  <c r="I1603" i="2"/>
  <c r="I1605" i="2"/>
  <c r="I1606" i="2"/>
  <c r="I1608" i="2"/>
  <c r="I1609" i="2"/>
  <c r="G1607" i="2"/>
  <c r="I1607" i="2" s="1"/>
  <c r="G1604" i="2"/>
  <c r="M1604" i="2" s="1"/>
  <c r="G1601" i="2"/>
  <c r="I1601" i="2" s="1"/>
  <c r="I1596" i="2"/>
  <c r="I1597" i="2"/>
  <c r="I1593" i="2"/>
  <c r="I1592" i="2"/>
  <c r="I1591" i="2"/>
  <c r="I1590" i="2"/>
  <c r="I1589" i="2"/>
  <c r="G1595" i="2"/>
  <c r="I1595" i="2" s="1"/>
  <c r="G1594" i="2"/>
  <c r="M1594" i="2" s="1"/>
  <c r="I1582" i="2"/>
  <c r="I1583" i="2"/>
  <c r="I1584" i="2"/>
  <c r="I1585" i="2"/>
  <c r="I1586" i="2"/>
  <c r="I1587" i="2"/>
  <c r="I1588" i="2"/>
  <c r="G1581" i="2"/>
  <c r="I1581" i="2" s="1"/>
  <c r="I1575" i="2"/>
  <c r="I1576" i="2"/>
  <c r="I1579" i="2"/>
  <c r="I1580" i="2"/>
  <c r="I1573" i="2"/>
  <c r="I1572" i="2"/>
  <c r="G1578" i="2"/>
  <c r="M1578" i="2" s="1"/>
  <c r="G1577" i="2"/>
  <c r="M1577" i="2" s="1"/>
  <c r="G1574" i="2"/>
  <c r="M1574" i="2" s="1"/>
  <c r="I1558" i="2"/>
  <c r="I1559" i="2"/>
  <c r="I1560" i="2"/>
  <c r="I1562" i="2"/>
  <c r="I1563" i="2"/>
  <c r="I1564" i="2"/>
  <c r="I1565" i="2"/>
  <c r="I1566" i="2"/>
  <c r="I1567" i="2"/>
  <c r="I1568" i="2"/>
  <c r="I1569" i="2"/>
  <c r="I1570" i="2"/>
  <c r="I1571" i="2"/>
  <c r="I1557" i="2"/>
  <c r="G1561" i="2"/>
  <c r="I1561" i="2" s="1"/>
  <c r="I1550" i="2"/>
  <c r="I1551" i="2"/>
  <c r="I1553" i="2"/>
  <c r="I1554" i="2"/>
  <c r="I1555" i="2"/>
  <c r="I1556" i="2"/>
  <c r="I1549" i="2"/>
  <c r="G1552" i="2"/>
  <c r="I1552" i="2" s="1"/>
  <c r="I1542" i="2"/>
  <c r="I1543" i="2"/>
  <c r="I1544" i="2"/>
  <c r="I1545" i="2"/>
  <c r="I1548" i="2"/>
  <c r="G1547" i="2"/>
  <c r="I1547" i="2" s="1"/>
  <c r="G1546" i="2"/>
  <c r="I1546" i="2" s="1"/>
  <c r="G1541" i="2"/>
  <c r="M1541" i="2" s="1"/>
  <c r="G1519" i="2"/>
  <c r="M1519" i="2" s="1"/>
  <c r="I1520" i="2"/>
  <c r="I1521" i="2"/>
  <c r="I1522" i="2"/>
  <c r="I1523" i="2"/>
  <c r="I1525" i="2"/>
  <c r="I1526" i="2"/>
  <c r="I1528" i="2"/>
  <c r="I1529" i="2"/>
  <c r="I1530" i="2"/>
  <c r="I1532" i="2"/>
  <c r="I1533" i="2"/>
  <c r="I1534" i="2"/>
  <c r="I1535" i="2"/>
  <c r="I1536" i="2"/>
  <c r="I1537" i="2"/>
  <c r="I1538" i="2"/>
  <c r="I1539" i="2"/>
  <c r="I1540" i="2"/>
  <c r="G1531" i="2"/>
  <c r="I1531" i="2" s="1"/>
  <c r="G1527" i="2"/>
  <c r="M1527" i="2" s="1"/>
  <c r="G1524" i="2"/>
  <c r="M1524" i="2" s="1"/>
  <c r="I1527" i="2" l="1"/>
  <c r="I1604" i="2"/>
  <c r="D128" i="9"/>
  <c r="D158" i="9" s="1"/>
  <c r="D189" i="9"/>
  <c r="E189" i="9" s="1"/>
  <c r="M1669" i="2"/>
  <c r="I1519" i="2"/>
  <c r="I1626" i="2"/>
  <c r="N1626" i="2" s="1"/>
  <c r="D24" i="7"/>
  <c r="E37" i="7"/>
  <c r="J7" i="7" s="1"/>
  <c r="K7" i="7" s="1"/>
  <c r="N1690" i="2"/>
  <c r="C113" i="9"/>
  <c r="C111" i="9"/>
  <c r="C110" i="9"/>
  <c r="N1688" i="2"/>
  <c r="N1707" i="2"/>
  <c r="D124" i="9" s="1"/>
  <c r="C124" i="9"/>
  <c r="D31" i="7"/>
  <c r="I6" i="7" s="1"/>
  <c r="D123" i="9"/>
  <c r="E31" i="7"/>
  <c r="F26" i="7"/>
  <c r="E130" i="9"/>
  <c r="M1531" i="2"/>
  <c r="N1531" i="2" s="1"/>
  <c r="M1561" i="2"/>
  <c r="N1561" i="2" s="1"/>
  <c r="C116" i="9"/>
  <c r="I1613" i="2"/>
  <c r="C117" i="9" s="1"/>
  <c r="C119" i="9"/>
  <c r="M1621" i="2"/>
  <c r="N1621" i="2" s="1"/>
  <c r="D122" i="9"/>
  <c r="E122" i="9" s="1"/>
  <c r="C158" i="9"/>
  <c r="N1708" i="2"/>
  <c r="D125" i="9" s="1"/>
  <c r="C125" i="9"/>
  <c r="F27" i="7"/>
  <c r="I1630" i="2"/>
  <c r="N1630" i="2" s="1"/>
  <c r="I1577" i="2"/>
  <c r="I1541" i="2"/>
  <c r="C109" i="9" s="1"/>
  <c r="N1589" i="2"/>
  <c r="M1601" i="2"/>
  <c r="N1601" i="2" s="1"/>
  <c r="C123" i="9"/>
  <c r="M1595" i="2"/>
  <c r="N1595" i="2" s="1"/>
  <c r="I1578" i="2"/>
  <c r="N1578" i="2" s="1"/>
  <c r="I1574" i="2"/>
  <c r="N1574" i="2" s="1"/>
  <c r="I1594" i="2"/>
  <c r="N1594" i="2" s="1"/>
  <c r="M1607" i="2"/>
  <c r="N1607" i="2" s="1"/>
  <c r="M1546" i="2"/>
  <c r="N1546" i="2" s="1"/>
  <c r="M1552" i="2"/>
  <c r="N1552" i="2" s="1"/>
  <c r="M1547" i="2"/>
  <c r="N1547" i="2" s="1"/>
  <c r="M1581" i="2"/>
  <c r="N1581" i="2" s="1"/>
  <c r="I1524" i="2"/>
  <c r="N1524" i="2" s="1"/>
  <c r="I1631" i="2"/>
  <c r="N1631" i="2" s="1"/>
  <c r="I1667" i="2"/>
  <c r="N1667" i="2" s="1"/>
  <c r="N1533" i="2"/>
  <c r="N1544" i="2"/>
  <c r="N1549" i="2"/>
  <c r="N1582" i="2"/>
  <c r="N1620" i="2"/>
  <c r="N1638" i="2"/>
  <c r="N1666" i="2"/>
  <c r="N1520" i="2"/>
  <c r="N1564" i="2"/>
  <c r="N1596" i="2"/>
  <c r="N1652" i="2"/>
  <c r="N1521" i="2"/>
  <c r="N1540" i="2"/>
  <c r="N1557" i="2"/>
  <c r="N1565" i="2"/>
  <c r="N1584" i="2"/>
  <c r="N1614" i="2"/>
  <c r="N1627" i="2"/>
  <c r="N1653" i="2"/>
  <c r="N1539" i="2"/>
  <c r="N1555" i="2"/>
  <c r="N1571" i="2"/>
  <c r="N1606" i="2"/>
  <c r="N1656" i="2"/>
  <c r="N1660" i="2"/>
  <c r="N1551" i="2"/>
  <c r="N1572" i="2"/>
  <c r="N1602" i="2"/>
  <c r="N1643" i="2"/>
  <c r="N1657" i="2"/>
  <c r="N1661" i="2"/>
  <c r="N1522" i="2"/>
  <c r="N1527" i="2"/>
  <c r="N1537" i="2"/>
  <c r="N1562" i="2"/>
  <c r="N1568" i="2"/>
  <c r="N1576" i="2"/>
  <c r="N1580" i="2"/>
  <c r="N1591" i="2"/>
  <c r="N1604" i="2"/>
  <c r="N1611" i="2"/>
  <c r="N1616" i="2"/>
  <c r="N1622" i="2"/>
  <c r="N1628" i="2"/>
  <c r="N1645" i="2"/>
  <c r="N1654" i="2"/>
  <c r="N1658" i="2"/>
  <c r="N1663" i="2"/>
  <c r="N1669" i="2"/>
  <c r="N1526" i="2"/>
  <c r="N1535" i="2"/>
  <c r="N1545" i="2"/>
  <c r="N1579" i="2"/>
  <c r="N1609" i="2"/>
  <c r="N1567" i="2"/>
  <c r="N1519" i="2"/>
  <c r="N1523" i="2"/>
  <c r="N1530" i="2"/>
  <c r="N1538" i="2"/>
  <c r="N1543" i="2"/>
  <c r="N1554" i="2"/>
  <c r="N1563" i="2"/>
  <c r="N1570" i="2"/>
  <c r="N1577" i="2"/>
  <c r="N1592" i="2"/>
  <c r="N1605" i="2"/>
  <c r="N1612" i="2"/>
  <c r="N1617" i="2"/>
  <c r="N1624" i="2"/>
  <c r="N1637" i="2"/>
  <c r="N1649" i="2"/>
  <c r="N1655" i="2"/>
  <c r="N1659" i="2"/>
  <c r="N1671" i="2"/>
  <c r="N1548" i="2"/>
  <c r="N1623" i="2"/>
  <c r="N1629" i="2"/>
  <c r="N1642" i="2"/>
  <c r="N1610" i="2"/>
  <c r="N1573" i="2"/>
  <c r="N1590" i="2"/>
  <c r="N1619" i="2"/>
  <c r="N1587" i="2"/>
  <c r="N1633" i="2"/>
  <c r="N1542" i="2"/>
  <c r="N1588" i="2"/>
  <c r="N1634" i="2"/>
  <c r="N1534" i="2"/>
  <c r="N1559" i="2"/>
  <c r="N1585" i="2"/>
  <c r="N1635" i="2"/>
  <c r="N1550" i="2"/>
  <c r="N1603" i="2"/>
  <c r="N1647" i="2"/>
  <c r="N1560" i="2"/>
  <c r="N1648" i="2"/>
  <c r="N1558" i="2"/>
  <c r="N1639" i="2"/>
  <c r="N1636" i="2"/>
  <c r="N1528" i="2"/>
  <c r="N1566" i="2"/>
  <c r="N1644" i="2"/>
  <c r="N1553" i="2"/>
  <c r="N1575" i="2"/>
  <c r="N1668" i="2"/>
  <c r="N1536" i="2"/>
  <c r="N1569" i="2"/>
  <c r="N1525" i="2"/>
  <c r="N1586" i="2"/>
  <c r="N1598" i="2"/>
  <c r="N1597" i="2"/>
  <c r="N1632" i="2"/>
  <c r="N1556" i="2"/>
  <c r="N1599" i="2"/>
  <c r="N1640" i="2"/>
  <c r="N1615" i="2"/>
  <c r="N1529" i="2"/>
  <c r="N1593" i="2"/>
  <c r="N1608" i="2"/>
  <c r="N1664" i="2"/>
  <c r="J373" i="1"/>
  <c r="M373" i="1" s="1"/>
  <c r="J372" i="1"/>
  <c r="M372" i="1" s="1"/>
  <c r="J371" i="1"/>
  <c r="M371" i="1" s="1"/>
  <c r="J370" i="1"/>
  <c r="M370" i="1" s="1"/>
  <c r="J369" i="1"/>
  <c r="M369" i="1" s="1"/>
  <c r="J368" i="1"/>
  <c r="M368" i="1" s="1"/>
  <c r="J367" i="1"/>
  <c r="M367" i="1" s="1"/>
  <c r="J366" i="1"/>
  <c r="M366" i="1" s="1"/>
  <c r="J365" i="1"/>
  <c r="M365" i="1" s="1"/>
  <c r="J364" i="1"/>
  <c r="M364" i="1" s="1"/>
  <c r="J378" i="1"/>
  <c r="M378" i="1" s="1"/>
  <c r="J377" i="1"/>
  <c r="M377" i="1" s="1"/>
  <c r="J380" i="1"/>
  <c r="M380" i="1" s="1"/>
  <c r="J379" i="1"/>
  <c r="M379" i="1" s="1"/>
  <c r="J362" i="1"/>
  <c r="M362" i="1" s="1"/>
  <c r="J363" i="1"/>
  <c r="M363" i="1" s="1"/>
  <c r="J376" i="1"/>
  <c r="M376" i="1" s="1"/>
  <c r="J344" i="1"/>
  <c r="M344" i="1" s="1"/>
  <c r="J343" i="1"/>
  <c r="M343" i="1" s="1"/>
  <c r="F37" i="7" l="1"/>
  <c r="E24" i="7"/>
  <c r="F24" i="7" s="1"/>
  <c r="E128" i="9"/>
  <c r="N1613" i="2"/>
  <c r="D117" i="9" s="1"/>
  <c r="E117" i="9" s="1"/>
  <c r="E124" i="9"/>
  <c r="C118" i="9"/>
  <c r="C115" i="9"/>
  <c r="C108" i="9"/>
  <c r="D113" i="9"/>
  <c r="E113" i="9" s="1"/>
  <c r="D120" i="9"/>
  <c r="N1541" i="2"/>
  <c r="D109" i="9" s="1"/>
  <c r="E109" i="9" s="1"/>
  <c r="D118" i="9"/>
  <c r="C120" i="9"/>
  <c r="D112" i="9"/>
  <c r="E123" i="9"/>
  <c r="D116" i="9"/>
  <c r="E116" i="9" s="1"/>
  <c r="D22" i="7"/>
  <c r="D110" i="9"/>
  <c r="E110" i="9" s="1"/>
  <c r="D23" i="7"/>
  <c r="C112" i="9"/>
  <c r="E125" i="9"/>
  <c r="E158" i="9"/>
  <c r="D108" i="9"/>
  <c r="D111" i="9"/>
  <c r="E111" i="9" s="1"/>
  <c r="D119" i="9"/>
  <c r="E119" i="9" s="1"/>
  <c r="D115" i="9"/>
  <c r="J6" i="7"/>
  <c r="K6" i="7" s="1"/>
  <c r="F31" i="7"/>
  <c r="J374" i="1"/>
  <c r="M374" i="1" s="1"/>
  <c r="J375" i="1"/>
  <c r="M375" i="1" s="1"/>
  <c r="J322" i="1"/>
  <c r="M322" i="1" s="1"/>
  <c r="H361" i="1"/>
  <c r="L361" i="1" s="1"/>
  <c r="J358" i="1"/>
  <c r="M358" i="1" s="1"/>
  <c r="J357" i="1"/>
  <c r="M357" i="1" s="1"/>
  <c r="J356" i="1"/>
  <c r="M356" i="1" s="1"/>
  <c r="J355" i="1"/>
  <c r="M355" i="1" s="1"/>
  <c r="J354" i="1"/>
  <c r="M354" i="1" s="1"/>
  <c r="J353" i="1"/>
  <c r="M353" i="1" s="1"/>
  <c r="J352" i="1"/>
  <c r="M352" i="1" s="1"/>
  <c r="J351" i="1"/>
  <c r="M351" i="1" s="1"/>
  <c r="J350" i="1"/>
  <c r="M350" i="1" s="1"/>
  <c r="J349" i="1"/>
  <c r="M349" i="1" s="1"/>
  <c r="J348" i="1"/>
  <c r="M348" i="1" s="1"/>
  <c r="J347" i="1"/>
  <c r="M347" i="1" s="1"/>
  <c r="J346" i="1"/>
  <c r="M346" i="1" s="1"/>
  <c r="J345" i="1"/>
  <c r="M345" i="1" s="1"/>
  <c r="J361" i="1" l="1"/>
  <c r="M361" i="1" s="1"/>
  <c r="E23" i="7"/>
  <c r="F23" i="7" s="1"/>
  <c r="E108" i="9"/>
  <c r="E115" i="9"/>
  <c r="E22" i="7"/>
  <c r="F22" i="7" s="1"/>
  <c r="E118" i="9"/>
  <c r="E120" i="9"/>
  <c r="E112" i="9"/>
  <c r="L336" i="1"/>
  <c r="L335" i="1"/>
  <c r="L334" i="1"/>
  <c r="L333" i="1"/>
  <c r="L332" i="1"/>
  <c r="L331" i="1"/>
  <c r="L330" i="1"/>
  <c r="L329" i="1"/>
  <c r="L328" i="1"/>
  <c r="J336" i="1"/>
  <c r="J335" i="1"/>
  <c r="J334" i="1"/>
  <c r="J333" i="1"/>
  <c r="J332" i="1"/>
  <c r="J331" i="1"/>
  <c r="J330" i="1"/>
  <c r="J329" i="1"/>
  <c r="J328" i="1"/>
  <c r="L320" i="1"/>
  <c r="L319" i="1"/>
  <c r="L318" i="1"/>
  <c r="L317" i="1"/>
  <c r="L316" i="1"/>
  <c r="L315" i="1"/>
  <c r="L314" i="1"/>
  <c r="J320" i="1"/>
  <c r="J319" i="1"/>
  <c r="J318" i="1"/>
  <c r="J317" i="1"/>
  <c r="J316" i="1"/>
  <c r="J315" i="1"/>
  <c r="J314" i="1"/>
  <c r="L323" i="1"/>
  <c r="L324" i="1"/>
  <c r="L325" i="1"/>
  <c r="L313" i="1"/>
  <c r="L321" i="1"/>
  <c r="J321" i="1"/>
  <c r="J313" i="1"/>
  <c r="J325" i="1"/>
  <c r="J324" i="1"/>
  <c r="J323" i="1"/>
  <c r="L327" i="1"/>
  <c r="L326" i="1"/>
  <c r="J327" i="1"/>
  <c r="J326" i="1"/>
  <c r="I1518" i="2"/>
  <c r="N1518" i="2" s="1"/>
  <c r="I1517" i="2"/>
  <c r="N1517" i="2" s="1"/>
  <c r="I1516" i="2"/>
  <c r="N1516" i="2" s="1"/>
  <c r="I1515" i="2"/>
  <c r="N1515" i="2" s="1"/>
  <c r="I1514" i="2"/>
  <c r="N1514" i="2" s="1"/>
  <c r="I1513" i="2"/>
  <c r="N1513" i="2" s="1"/>
  <c r="I1512" i="2"/>
  <c r="N1512" i="2" s="1"/>
  <c r="I1511" i="2"/>
  <c r="N1511" i="2" s="1"/>
  <c r="I1510" i="2"/>
  <c r="N1510" i="2" s="1"/>
  <c r="I1509" i="2"/>
  <c r="N1509" i="2" s="1"/>
  <c r="I1508" i="2"/>
  <c r="N1508" i="2" s="1"/>
  <c r="I1507" i="2"/>
  <c r="N1507" i="2" s="1"/>
  <c r="I1506" i="2"/>
  <c r="N1506" i="2" s="1"/>
  <c r="I1505" i="2"/>
  <c r="N1505" i="2" s="1"/>
  <c r="I1504" i="2"/>
  <c r="G1496" i="2"/>
  <c r="I1493" i="2"/>
  <c r="N1493" i="2" s="1"/>
  <c r="G1487" i="2"/>
  <c r="M1487" i="2" s="1"/>
  <c r="I1489" i="2"/>
  <c r="N1489" i="2" s="1"/>
  <c r="I1490" i="2"/>
  <c r="N1490" i="2" s="1"/>
  <c r="I1491" i="2"/>
  <c r="N1491" i="2" s="1"/>
  <c r="I1492" i="2"/>
  <c r="N1492" i="2" s="1"/>
  <c r="I1494" i="2"/>
  <c r="N1494" i="2" s="1"/>
  <c r="I1497" i="2"/>
  <c r="N1497" i="2" s="1"/>
  <c r="I1498" i="2"/>
  <c r="I1500" i="2"/>
  <c r="N1500" i="2" s="1"/>
  <c r="I1501" i="2"/>
  <c r="N1501" i="2" s="1"/>
  <c r="I1502" i="2"/>
  <c r="N1502" i="2" s="1"/>
  <c r="I1503" i="2"/>
  <c r="N1503" i="2" s="1"/>
  <c r="G1499" i="2"/>
  <c r="M1499" i="2" s="1"/>
  <c r="G1495" i="2"/>
  <c r="M1495" i="2" s="1"/>
  <c r="G1488" i="2"/>
  <c r="M1488" i="2" s="1"/>
  <c r="N1504" i="2" l="1"/>
  <c r="D102" i="9" s="1"/>
  <c r="C102" i="9"/>
  <c r="I1495" i="2"/>
  <c r="N1495" i="2" s="1"/>
  <c r="M324" i="1"/>
  <c r="I1499" i="2"/>
  <c r="N1499" i="2" s="1"/>
  <c r="I1496" i="2"/>
  <c r="M1496" i="2"/>
  <c r="I1488" i="2"/>
  <c r="N1488" i="2" s="1"/>
  <c r="I1487" i="2"/>
  <c r="M315" i="1"/>
  <c r="M320" i="1"/>
  <c r="M318" i="1"/>
  <c r="M335" i="1"/>
  <c r="M334" i="1"/>
  <c r="M321" i="1"/>
  <c r="M323" i="1"/>
  <c r="M326" i="1"/>
  <c r="M316" i="1"/>
  <c r="M317" i="1"/>
  <c r="M327" i="1"/>
  <c r="M313" i="1"/>
  <c r="M325" i="1"/>
  <c r="M328" i="1"/>
  <c r="M332" i="1"/>
  <c r="M319" i="1"/>
  <c r="M336" i="1"/>
  <c r="M329" i="1"/>
  <c r="M333" i="1"/>
  <c r="M330" i="1"/>
  <c r="M314" i="1"/>
  <c r="M331" i="1"/>
  <c r="I1473" i="2"/>
  <c r="I1474" i="2"/>
  <c r="N1474" i="2" s="1"/>
  <c r="I1475" i="2"/>
  <c r="N1475" i="2" s="1"/>
  <c r="I1476" i="2"/>
  <c r="N1476" i="2" s="1"/>
  <c r="I1477" i="2"/>
  <c r="N1477" i="2" s="1"/>
  <c r="I1478" i="2"/>
  <c r="I1479" i="2"/>
  <c r="N1479" i="2" s="1"/>
  <c r="I1480" i="2"/>
  <c r="N1480" i="2" s="1"/>
  <c r="I1481" i="2"/>
  <c r="N1481" i="2" s="1"/>
  <c r="I1482" i="2"/>
  <c r="N1482" i="2" s="1"/>
  <c r="I1483" i="2"/>
  <c r="N1483" i="2" s="1"/>
  <c r="I1484" i="2"/>
  <c r="N1484" i="2" s="1"/>
  <c r="I1485" i="2"/>
  <c r="N1485" i="2" s="1"/>
  <c r="I1486" i="2"/>
  <c r="N1486" i="2" s="1"/>
  <c r="I1458" i="2"/>
  <c r="I1459" i="2"/>
  <c r="N1459" i="2" s="1"/>
  <c r="I1460" i="2"/>
  <c r="N1460" i="2" s="1"/>
  <c r="I1461" i="2"/>
  <c r="N1461" i="2" s="1"/>
  <c r="I1462" i="2"/>
  <c r="N1462" i="2" s="1"/>
  <c r="I1463" i="2"/>
  <c r="N1463" i="2" s="1"/>
  <c r="I1464" i="2"/>
  <c r="N1464" i="2" s="1"/>
  <c r="I1465" i="2"/>
  <c r="N1465" i="2" s="1"/>
  <c r="I1466" i="2"/>
  <c r="N1466" i="2" s="1"/>
  <c r="I1467" i="2"/>
  <c r="N1467" i="2" s="1"/>
  <c r="I1470" i="2"/>
  <c r="N1470" i="2" s="1"/>
  <c r="I1471" i="2"/>
  <c r="N1471" i="2" s="1"/>
  <c r="I1472" i="2"/>
  <c r="N1472" i="2" s="1"/>
  <c r="G1469" i="2"/>
  <c r="M1469" i="2" s="1"/>
  <c r="G1468" i="2"/>
  <c r="M1468" i="2" s="1"/>
  <c r="I1440" i="2"/>
  <c r="I1442" i="2"/>
  <c r="N1442" i="2" s="1"/>
  <c r="I1443" i="2"/>
  <c r="N1443" i="2" s="1"/>
  <c r="I1444" i="2"/>
  <c r="N1444" i="2" s="1"/>
  <c r="I1445" i="2"/>
  <c r="N1445" i="2" s="1"/>
  <c r="I1446" i="2"/>
  <c r="N1446" i="2" s="1"/>
  <c r="I1447" i="2"/>
  <c r="N1447" i="2" s="1"/>
  <c r="I1448" i="2"/>
  <c r="N1448" i="2" s="1"/>
  <c r="I1449" i="2"/>
  <c r="N1449" i="2" s="1"/>
  <c r="I1450" i="2"/>
  <c r="N1450" i="2" s="1"/>
  <c r="I1451" i="2"/>
  <c r="N1451" i="2" s="1"/>
  <c r="I1452" i="2"/>
  <c r="N1452" i="2" s="1"/>
  <c r="I1455" i="2"/>
  <c r="N1455" i="2" s="1"/>
  <c r="I1456" i="2"/>
  <c r="N1456" i="2" s="1"/>
  <c r="I1439" i="2"/>
  <c r="G1457" i="2"/>
  <c r="M1457" i="2" s="1"/>
  <c r="G1454" i="2"/>
  <c r="M1454" i="2" s="1"/>
  <c r="G1453" i="2"/>
  <c r="M1453" i="2" s="1"/>
  <c r="G1441" i="2"/>
  <c r="M1441" i="2" s="1"/>
  <c r="G1440" i="2"/>
  <c r="M1440" i="2" s="1"/>
  <c r="I1420" i="2"/>
  <c r="N1420" i="2" s="1"/>
  <c r="I1421" i="2"/>
  <c r="I1422" i="2"/>
  <c r="N1422" i="2" s="1"/>
  <c r="I1423" i="2"/>
  <c r="N1423" i="2" s="1"/>
  <c r="I1424" i="2"/>
  <c r="N1424" i="2" s="1"/>
  <c r="I1425" i="2"/>
  <c r="N1425" i="2" s="1"/>
  <c r="I1426" i="2"/>
  <c r="N1426" i="2" s="1"/>
  <c r="I1427" i="2"/>
  <c r="N1427" i="2" s="1"/>
  <c r="I1428" i="2"/>
  <c r="N1428" i="2" s="1"/>
  <c r="I1429" i="2"/>
  <c r="N1429" i="2" s="1"/>
  <c r="I1430" i="2"/>
  <c r="N1430" i="2" s="1"/>
  <c r="I1431" i="2"/>
  <c r="N1431" i="2" s="1"/>
  <c r="I1432" i="2"/>
  <c r="N1432" i="2" s="1"/>
  <c r="I1433" i="2"/>
  <c r="N1433" i="2" s="1"/>
  <c r="I1434" i="2"/>
  <c r="N1434" i="2" s="1"/>
  <c r="I1435" i="2"/>
  <c r="N1435" i="2" s="1"/>
  <c r="I1436" i="2"/>
  <c r="N1436" i="2" s="1"/>
  <c r="I1437" i="2"/>
  <c r="N1437" i="2" s="1"/>
  <c r="I1438" i="2"/>
  <c r="N1438" i="2" s="1"/>
  <c r="G1419" i="2"/>
  <c r="M1419" i="2" s="1"/>
  <c r="I1405" i="2"/>
  <c r="I1406" i="2"/>
  <c r="N1406" i="2" s="1"/>
  <c r="I1407" i="2"/>
  <c r="N1407" i="2" s="1"/>
  <c r="I1408" i="2"/>
  <c r="N1408" i="2" s="1"/>
  <c r="I1409" i="2"/>
  <c r="N1409" i="2" s="1"/>
  <c r="I1410" i="2"/>
  <c r="N1410" i="2" s="1"/>
  <c r="I1411" i="2"/>
  <c r="N1411" i="2" s="1"/>
  <c r="I1412" i="2"/>
  <c r="N1412" i="2" s="1"/>
  <c r="I1413" i="2"/>
  <c r="N1413" i="2" s="1"/>
  <c r="I1414" i="2"/>
  <c r="N1414" i="2" s="1"/>
  <c r="I1415" i="2"/>
  <c r="N1415" i="2" s="1"/>
  <c r="I1416" i="2"/>
  <c r="N1416" i="2" s="1"/>
  <c r="I1417" i="2"/>
  <c r="N1417" i="2" s="1"/>
  <c r="I1418" i="2"/>
  <c r="N1418" i="2" s="1"/>
  <c r="I1403" i="2"/>
  <c r="N1403" i="2" s="1"/>
  <c r="I1402" i="2"/>
  <c r="N1402" i="2" s="1"/>
  <c r="I1401" i="2"/>
  <c r="N1401" i="2" s="1"/>
  <c r="I1400" i="2"/>
  <c r="N1400" i="2" s="1"/>
  <c r="I1399" i="2"/>
  <c r="G1404" i="2"/>
  <c r="M1404" i="2" s="1"/>
  <c r="N1421" i="2" l="1"/>
  <c r="F6" i="8" s="1"/>
  <c r="E6" i="8"/>
  <c r="N1405" i="2"/>
  <c r="D94" i="9" s="1"/>
  <c r="C94" i="9"/>
  <c r="N1487" i="2"/>
  <c r="D21" i="7"/>
  <c r="C101" i="9"/>
  <c r="N1473" i="2"/>
  <c r="D99" i="9" s="1"/>
  <c r="C99" i="9"/>
  <c r="N1399" i="2"/>
  <c r="N1439" i="2"/>
  <c r="N1458" i="2"/>
  <c r="N1440" i="2"/>
  <c r="I1457" i="2"/>
  <c r="N1457" i="2" s="1"/>
  <c r="I1453" i="2"/>
  <c r="N1453" i="2" s="1"/>
  <c r="I1441" i="2"/>
  <c r="N1441" i="2" s="1"/>
  <c r="I1468" i="2"/>
  <c r="N1468" i="2" s="1"/>
  <c r="I1419" i="2"/>
  <c r="I1404" i="2"/>
  <c r="N1404" i="2" s="1"/>
  <c r="N1496" i="2"/>
  <c r="I1454" i="2"/>
  <c r="N1454" i="2" s="1"/>
  <c r="I1469" i="2"/>
  <c r="N1469" i="2" s="1"/>
  <c r="M1396" i="2"/>
  <c r="D18" i="7" l="1"/>
  <c r="C98" i="9"/>
  <c r="D98" i="9"/>
  <c r="E99" i="9"/>
  <c r="E94" i="9"/>
  <c r="D20" i="7"/>
  <c r="D25" i="7" s="1"/>
  <c r="I5" i="7" s="1"/>
  <c r="C96" i="9"/>
  <c r="C97" i="9"/>
  <c r="E18" i="7"/>
  <c r="D93" i="9"/>
  <c r="D97" i="9"/>
  <c r="E21" i="7"/>
  <c r="F21" i="7" s="1"/>
  <c r="D101" i="9"/>
  <c r="E101" i="9" s="1"/>
  <c r="C93" i="9"/>
  <c r="N1419" i="2"/>
  <c r="M1322" i="2"/>
  <c r="M1328" i="2"/>
  <c r="M1321" i="2"/>
  <c r="K1394" i="2"/>
  <c r="M1394" i="2" s="1"/>
  <c r="K1390" i="2"/>
  <c r="M1390" i="2" s="1"/>
  <c r="K1374" i="2"/>
  <c r="M1374" i="2" s="1"/>
  <c r="K1344" i="2"/>
  <c r="M1344" i="2" s="1"/>
  <c r="K1342" i="2"/>
  <c r="M1342" i="2" s="1"/>
  <c r="K1324" i="2"/>
  <c r="M1324" i="2" s="1"/>
  <c r="K1314" i="2"/>
  <c r="M1393" i="2"/>
  <c r="M1372" i="2"/>
  <c r="M1352" i="2"/>
  <c r="M1347" i="2"/>
  <c r="M1345" i="2"/>
  <c r="M1326" i="2"/>
  <c r="M821" i="2"/>
  <c r="M1359" i="2"/>
  <c r="M1388" i="2"/>
  <c r="M1387" i="2"/>
  <c r="M1385" i="2"/>
  <c r="M1382" i="2"/>
  <c r="M1365" i="2"/>
  <c r="M1357" i="2"/>
  <c r="M1356" i="2"/>
  <c r="M1348" i="2"/>
  <c r="M1330" i="2"/>
  <c r="M1329" i="2"/>
  <c r="M1353" i="2"/>
  <c r="M1346" i="2"/>
  <c r="M1323" i="2"/>
  <c r="F18" i="7" l="1"/>
  <c r="E98" i="9"/>
  <c r="E97" i="9"/>
  <c r="C126" i="9"/>
  <c r="E20" i="7"/>
  <c r="D96" i="9"/>
  <c r="E93" i="9"/>
  <c r="I1384" i="2"/>
  <c r="I1385" i="2"/>
  <c r="N1385" i="2" s="1"/>
  <c r="I1386" i="2"/>
  <c r="N1386" i="2" s="1"/>
  <c r="I1387" i="2"/>
  <c r="N1387" i="2" s="1"/>
  <c r="I1388" i="2"/>
  <c r="N1388" i="2" s="1"/>
  <c r="I1389" i="2"/>
  <c r="N1389" i="2" s="1"/>
  <c r="I1390" i="2"/>
  <c r="N1390" i="2" s="1"/>
  <c r="I1392" i="2"/>
  <c r="N1392" i="2" s="1"/>
  <c r="I1393" i="2"/>
  <c r="N1393" i="2" s="1"/>
  <c r="I1394" i="2"/>
  <c r="N1394" i="2" s="1"/>
  <c r="I1396" i="2"/>
  <c r="N1396" i="2" s="1"/>
  <c r="I1397" i="2"/>
  <c r="I1398" i="2"/>
  <c r="N1398" i="2" s="1"/>
  <c r="G1395" i="2"/>
  <c r="M1395" i="2" s="1"/>
  <c r="G1391" i="2"/>
  <c r="M1391" i="2" s="1"/>
  <c r="I1378" i="2"/>
  <c r="N1378" i="2" s="1"/>
  <c r="I1379" i="2"/>
  <c r="N1379" i="2" s="1"/>
  <c r="I1380" i="2"/>
  <c r="N1380" i="2" s="1"/>
  <c r="I1381" i="2"/>
  <c r="N1381" i="2" s="1"/>
  <c r="I1382" i="2"/>
  <c r="N1382" i="2" s="1"/>
  <c r="I1375" i="2"/>
  <c r="G1383" i="2"/>
  <c r="M1383" i="2" s="1"/>
  <c r="G1377" i="2"/>
  <c r="M1377" i="2" s="1"/>
  <c r="G1376" i="2"/>
  <c r="M1376" i="2" s="1"/>
  <c r="G1368" i="2"/>
  <c r="M1368" i="2" s="1"/>
  <c r="I1374" i="2"/>
  <c r="N1374" i="2" s="1"/>
  <c r="I1372" i="2"/>
  <c r="N1372" i="2" s="1"/>
  <c r="I1371" i="2"/>
  <c r="N1371" i="2" s="1"/>
  <c r="I1370" i="2"/>
  <c r="N1370" i="2" s="1"/>
  <c r="I1369" i="2"/>
  <c r="N1369" i="2" s="1"/>
  <c r="I1367" i="2"/>
  <c r="N1367" i="2" s="1"/>
  <c r="I1366" i="2"/>
  <c r="N1366" i="2" s="1"/>
  <c r="I1365" i="2"/>
  <c r="N1365" i="2" s="1"/>
  <c r="I1364" i="2"/>
  <c r="N1364" i="2" s="1"/>
  <c r="I1363" i="2"/>
  <c r="N1363" i="2" s="1"/>
  <c r="I1362" i="2"/>
  <c r="N1362" i="2" s="1"/>
  <c r="I1361" i="2"/>
  <c r="N1361" i="2" s="1"/>
  <c r="I1360" i="2"/>
  <c r="N1360" i="2" s="1"/>
  <c r="I1359" i="2"/>
  <c r="N1359" i="2" s="1"/>
  <c r="I1358" i="2"/>
  <c r="I1357" i="2"/>
  <c r="N1357" i="2" s="1"/>
  <c r="I1356" i="2"/>
  <c r="N1356" i="2" s="1"/>
  <c r="I1355" i="2"/>
  <c r="N1355" i="2" s="1"/>
  <c r="I1354" i="2"/>
  <c r="N1354" i="2" s="1"/>
  <c r="I1353" i="2"/>
  <c r="N1353" i="2" s="1"/>
  <c r="I1352" i="2"/>
  <c r="G1373" i="2"/>
  <c r="M1373" i="2" s="1"/>
  <c r="I1351" i="2"/>
  <c r="N1351" i="2" s="1"/>
  <c r="I1349" i="2"/>
  <c r="N1349" i="2" s="1"/>
  <c r="I1348" i="2"/>
  <c r="N1348" i="2" s="1"/>
  <c r="I1347" i="2"/>
  <c r="N1347" i="2" s="1"/>
  <c r="I1346" i="2"/>
  <c r="N1346" i="2" s="1"/>
  <c r="I1345" i="2"/>
  <c r="N1345" i="2" s="1"/>
  <c r="I1344" i="2"/>
  <c r="N1344" i="2" s="1"/>
  <c r="I1343" i="2"/>
  <c r="N1343" i="2" s="1"/>
  <c r="I1342" i="2"/>
  <c r="G1350" i="2"/>
  <c r="M1350" i="2" s="1"/>
  <c r="H1338" i="2"/>
  <c r="I1338" i="2" s="1"/>
  <c r="I1339" i="2"/>
  <c r="N1339" i="2" s="1"/>
  <c r="I1340" i="2"/>
  <c r="N1340" i="2" s="1"/>
  <c r="I1341" i="2"/>
  <c r="N1341" i="2" s="1"/>
  <c r="I1336" i="2"/>
  <c r="N1336" i="2" s="1"/>
  <c r="I1335" i="2"/>
  <c r="N1335" i="2" s="1"/>
  <c r="I1334" i="2"/>
  <c r="N1334" i="2" s="1"/>
  <c r="I1333" i="2"/>
  <c r="N1333" i="2" s="1"/>
  <c r="I1332" i="2"/>
  <c r="N1332" i="2" s="1"/>
  <c r="I1331" i="2"/>
  <c r="N1331" i="2" s="1"/>
  <c r="I1330" i="2"/>
  <c r="N1330" i="2" s="1"/>
  <c r="I1329" i="2"/>
  <c r="N1329" i="2" s="1"/>
  <c r="I1328" i="2"/>
  <c r="N1328" i="2" s="1"/>
  <c r="I1327" i="2"/>
  <c r="N1327" i="2" s="1"/>
  <c r="I1326" i="2"/>
  <c r="N1326" i="2" s="1"/>
  <c r="I1325" i="2"/>
  <c r="N1325" i="2" s="1"/>
  <c r="I1324" i="2"/>
  <c r="N1324" i="2" s="1"/>
  <c r="I1323" i="2"/>
  <c r="N1323" i="2" s="1"/>
  <c r="I1322" i="2"/>
  <c r="N1322" i="2" s="1"/>
  <c r="I1321" i="2"/>
  <c r="G1337" i="2"/>
  <c r="M1337" i="2" s="1"/>
  <c r="N1384" i="2" l="1"/>
  <c r="N1321" i="2"/>
  <c r="I1377" i="2"/>
  <c r="N1377" i="2" s="1"/>
  <c r="N1375" i="2"/>
  <c r="N1352" i="2"/>
  <c r="I1368" i="2"/>
  <c r="C89" i="9" s="1"/>
  <c r="N1342" i="2"/>
  <c r="D88" i="9" s="1"/>
  <c r="I1373" i="2"/>
  <c r="N1373" i="2" s="1"/>
  <c r="E96" i="9"/>
  <c r="D126" i="9"/>
  <c r="E126" i="9" s="1"/>
  <c r="E25" i="7"/>
  <c r="F20" i="7"/>
  <c r="I1395" i="2"/>
  <c r="N1395" i="2" s="1"/>
  <c r="I1391" i="2"/>
  <c r="N1391" i="2" s="1"/>
  <c r="I1350" i="2"/>
  <c r="N1350" i="2" s="1"/>
  <c r="I1337" i="2"/>
  <c r="N1337" i="2" s="1"/>
  <c r="I1376" i="2"/>
  <c r="N1376" i="2" s="1"/>
  <c r="I1383" i="2"/>
  <c r="N1383" i="2" s="1"/>
  <c r="M1318" i="2"/>
  <c r="M1284" i="2"/>
  <c r="M1275" i="2"/>
  <c r="M1270" i="2"/>
  <c r="M1267" i="2"/>
  <c r="M1253" i="2"/>
  <c r="M1246" i="2"/>
  <c r="M1243" i="2"/>
  <c r="M1237" i="2"/>
  <c r="M1231" i="2"/>
  <c r="C88" i="9" l="1"/>
  <c r="E88" i="9" s="1"/>
  <c r="N1368" i="2"/>
  <c r="D89" i="9" s="1"/>
  <c r="E89" i="9" s="1"/>
  <c r="C87" i="9"/>
  <c r="C90" i="9"/>
  <c r="D87" i="9"/>
  <c r="J5" i="7"/>
  <c r="K5" i="7" s="1"/>
  <c r="F25" i="7"/>
  <c r="D90" i="9"/>
  <c r="C91" i="9"/>
  <c r="D91" i="9"/>
  <c r="M1256" i="2"/>
  <c r="M1226" i="2"/>
  <c r="M1230" i="2"/>
  <c r="M1220" i="2"/>
  <c r="M1317" i="2"/>
  <c r="M1248" i="2"/>
  <c r="M1236" i="2"/>
  <c r="M1222" i="2"/>
  <c r="M1251" i="2"/>
  <c r="M1308" i="2"/>
  <c r="M1311" i="2"/>
  <c r="M1254" i="2"/>
  <c r="M1277" i="2"/>
  <c r="M1274" i="2"/>
  <c r="M1235" i="2"/>
  <c r="M1288" i="2"/>
  <c r="M1316" i="2"/>
  <c r="M1302" i="2"/>
  <c r="M1301" i="2"/>
  <c r="M1300" i="2"/>
  <c r="M1280" i="2"/>
  <c r="M1269" i="2"/>
  <c r="M1314" i="2"/>
  <c r="K1294" i="2"/>
  <c r="M1294" i="2" s="1"/>
  <c r="K1283" i="2"/>
  <c r="M1283" i="2" s="1"/>
  <c r="K1272" i="2"/>
  <c r="M1272" i="2" s="1"/>
  <c r="K1262" i="2"/>
  <c r="M1262" i="2" s="1"/>
  <c r="K1260" i="2"/>
  <c r="M1260" i="2" s="1"/>
  <c r="K1259" i="2"/>
  <c r="M1259" i="2" s="1"/>
  <c r="K1258" i="2"/>
  <c r="M1258" i="2" s="1"/>
  <c r="K1255" i="2"/>
  <c r="M1255" i="2" s="1"/>
  <c r="K1252" i="2"/>
  <c r="M1252" i="2" s="1"/>
  <c r="K1232" i="2"/>
  <c r="M1232" i="2" s="1"/>
  <c r="K1225" i="2"/>
  <c r="M1225" i="2" s="1"/>
  <c r="M1320" i="2"/>
  <c r="M1297" i="2"/>
  <c r="M879" i="2"/>
  <c r="M1296" i="2"/>
  <c r="M1266" i="2"/>
  <c r="M1290" i="2"/>
  <c r="M1289" i="2"/>
  <c r="M1285" i="2"/>
  <c r="M1273" i="2"/>
  <c r="M1250" i="2"/>
  <c r="M1249" i="2"/>
  <c r="M1245" i="2"/>
  <c r="M1240" i="2"/>
  <c r="M1233" i="2"/>
  <c r="M1228" i="2"/>
  <c r="M1227" i="2"/>
  <c r="M1224" i="2"/>
  <c r="M1223" i="2"/>
  <c r="M1293" i="2"/>
  <c r="M1157" i="2"/>
  <c r="K1156" i="2"/>
  <c r="M1156" i="2" s="1"/>
  <c r="M1239" i="2"/>
  <c r="M1229" i="2"/>
  <c r="E90" i="9" l="1"/>
  <c r="E87" i="9"/>
  <c r="E91" i="9"/>
  <c r="I1314" i="2"/>
  <c r="N1314" i="2" s="1"/>
  <c r="I1316" i="2"/>
  <c r="N1316" i="2" s="1"/>
  <c r="I1317" i="2"/>
  <c r="N1317" i="2" s="1"/>
  <c r="I1318" i="2"/>
  <c r="N1318" i="2" s="1"/>
  <c r="I1319" i="2"/>
  <c r="N1319" i="2" s="1"/>
  <c r="I1320" i="2"/>
  <c r="N1320" i="2" s="1"/>
  <c r="G1315" i="2"/>
  <c r="M1315" i="2" s="1"/>
  <c r="G1313" i="2"/>
  <c r="M1313" i="2" s="1"/>
  <c r="I1308" i="2"/>
  <c r="I1309" i="2"/>
  <c r="I1311" i="2"/>
  <c r="N1311" i="2" s="1"/>
  <c r="G1312" i="2"/>
  <c r="M1312" i="2" s="1"/>
  <c r="G1310" i="2"/>
  <c r="M1310" i="2" s="1"/>
  <c r="G1307" i="2"/>
  <c r="M1307" i="2" s="1"/>
  <c r="G1298" i="2"/>
  <c r="I1290" i="2"/>
  <c r="N1290" i="2" s="1"/>
  <c r="I1291" i="2"/>
  <c r="N1291" i="2" s="1"/>
  <c r="I1292" i="2"/>
  <c r="N1292" i="2" s="1"/>
  <c r="I1293" i="2"/>
  <c r="N1293" i="2" s="1"/>
  <c r="I1294" i="2"/>
  <c r="N1294" i="2" s="1"/>
  <c r="I1295" i="2"/>
  <c r="N1295" i="2" s="1"/>
  <c r="I1296" i="2"/>
  <c r="N1296" i="2" s="1"/>
  <c r="I1297" i="2"/>
  <c r="N1297" i="2" s="1"/>
  <c r="I1299" i="2"/>
  <c r="N1299" i="2" s="1"/>
  <c r="I1300" i="2"/>
  <c r="N1300" i="2" s="1"/>
  <c r="I1301" i="2"/>
  <c r="N1301" i="2" s="1"/>
  <c r="I1302" i="2"/>
  <c r="N1302" i="2" s="1"/>
  <c r="I1303" i="2"/>
  <c r="N1303" i="2" s="1"/>
  <c r="I1304" i="2"/>
  <c r="N1304" i="2" s="1"/>
  <c r="I1305" i="2"/>
  <c r="N1305" i="2" s="1"/>
  <c r="I1306" i="2"/>
  <c r="N1306" i="2" s="1"/>
  <c r="I1289" i="2"/>
  <c r="I1275" i="2"/>
  <c r="I1276" i="2"/>
  <c r="N1276" i="2" s="1"/>
  <c r="I1277" i="2"/>
  <c r="N1277" i="2" s="1"/>
  <c r="I1280" i="2"/>
  <c r="N1280" i="2" s="1"/>
  <c r="I1281" i="2"/>
  <c r="N1281" i="2" s="1"/>
  <c r="I1282" i="2"/>
  <c r="N1282" i="2" s="1"/>
  <c r="I1283" i="2"/>
  <c r="N1283" i="2" s="1"/>
  <c r="I1284" i="2"/>
  <c r="N1284" i="2" s="1"/>
  <c r="I1285" i="2"/>
  <c r="N1285" i="2" s="1"/>
  <c r="I1286" i="2"/>
  <c r="I1287" i="2"/>
  <c r="I1288" i="2"/>
  <c r="N1288" i="2" s="1"/>
  <c r="G1279" i="2"/>
  <c r="M1279" i="2" s="1"/>
  <c r="G1278" i="2"/>
  <c r="M1278" i="2" s="1"/>
  <c r="I1259" i="2"/>
  <c r="I1260" i="2"/>
  <c r="N1260" i="2" s="1"/>
  <c r="I1262" i="2"/>
  <c r="N1262" i="2" s="1"/>
  <c r="I1263" i="2"/>
  <c r="N1263" i="2" s="1"/>
  <c r="I1264" i="2"/>
  <c r="N1264" i="2" s="1"/>
  <c r="I1265" i="2"/>
  <c r="N1265" i="2" s="1"/>
  <c r="I1266" i="2"/>
  <c r="N1266" i="2" s="1"/>
  <c r="I1267" i="2"/>
  <c r="N1267" i="2" s="1"/>
  <c r="I1268" i="2"/>
  <c r="N1268" i="2" s="1"/>
  <c r="I1269" i="2"/>
  <c r="N1269" i="2" s="1"/>
  <c r="I1270" i="2"/>
  <c r="N1270" i="2" s="1"/>
  <c r="I1272" i="2"/>
  <c r="N1272" i="2" s="1"/>
  <c r="I1273" i="2"/>
  <c r="N1273" i="2" s="1"/>
  <c r="I1274" i="2"/>
  <c r="N1274" i="2" s="1"/>
  <c r="G1271" i="2"/>
  <c r="M1271" i="2" s="1"/>
  <c r="G1261" i="2"/>
  <c r="M1261" i="2" s="1"/>
  <c r="I1242" i="2"/>
  <c r="N1242" i="2" s="1"/>
  <c r="I1243" i="2"/>
  <c r="N1243" i="2" s="1"/>
  <c r="I1245" i="2"/>
  <c r="N1245" i="2" s="1"/>
  <c r="I1246" i="2"/>
  <c r="N1246" i="2" s="1"/>
  <c r="I1248" i="2"/>
  <c r="N1248" i="2" s="1"/>
  <c r="I1249" i="2"/>
  <c r="N1249" i="2" s="1"/>
  <c r="I1250" i="2"/>
  <c r="N1250" i="2" s="1"/>
  <c r="I1251" i="2"/>
  <c r="N1251" i="2" s="1"/>
  <c r="I1252" i="2"/>
  <c r="N1252" i="2" s="1"/>
  <c r="I1253" i="2"/>
  <c r="N1253" i="2" s="1"/>
  <c r="I1254" i="2"/>
  <c r="N1254" i="2" s="1"/>
  <c r="I1255" i="2"/>
  <c r="N1255" i="2" s="1"/>
  <c r="I1256" i="2"/>
  <c r="N1256" i="2" s="1"/>
  <c r="I1257" i="2"/>
  <c r="N1257" i="2" s="1"/>
  <c r="I1258" i="2"/>
  <c r="N1258" i="2" s="1"/>
  <c r="I1240" i="2"/>
  <c r="N1240" i="2" s="1"/>
  <c r="I1239" i="2"/>
  <c r="N1239" i="2" s="1"/>
  <c r="I1238" i="2"/>
  <c r="I1237" i="2"/>
  <c r="N1237" i="2" s="1"/>
  <c r="I1236" i="2"/>
  <c r="G1247" i="2"/>
  <c r="M1247" i="2" s="1"/>
  <c r="G1244" i="2"/>
  <c r="I1244" i="2" s="1"/>
  <c r="G1241" i="2"/>
  <c r="M1241" i="2" s="1"/>
  <c r="G1221" i="2"/>
  <c r="M1221" i="2" s="1"/>
  <c r="I1222" i="2"/>
  <c r="N1222" i="2" s="1"/>
  <c r="I1223" i="2"/>
  <c r="N1223" i="2" s="1"/>
  <c r="I1224" i="2"/>
  <c r="N1224" i="2" s="1"/>
  <c r="I1225" i="2"/>
  <c r="N1225" i="2" s="1"/>
  <c r="I1226" i="2"/>
  <c r="N1226" i="2" s="1"/>
  <c r="I1227" i="2"/>
  <c r="N1227" i="2" s="1"/>
  <c r="I1228" i="2"/>
  <c r="N1228" i="2" s="1"/>
  <c r="I1229" i="2"/>
  <c r="N1229" i="2" s="1"/>
  <c r="I1230" i="2"/>
  <c r="N1230" i="2" s="1"/>
  <c r="I1231" i="2"/>
  <c r="N1231" i="2" s="1"/>
  <c r="I1232" i="2"/>
  <c r="N1232" i="2" s="1"/>
  <c r="I1233" i="2"/>
  <c r="N1233" i="2" s="1"/>
  <c r="I1235" i="2"/>
  <c r="N1235" i="2" s="1"/>
  <c r="I1220" i="2"/>
  <c r="G1234" i="2"/>
  <c r="M1234" i="2" s="1"/>
  <c r="I1307" i="2" l="1"/>
  <c r="I1221" i="2"/>
  <c r="N1221" i="2" s="1"/>
  <c r="I1312" i="2"/>
  <c r="N1312" i="2" s="1"/>
  <c r="N1236" i="2"/>
  <c r="N1259" i="2"/>
  <c r="N1308" i="2"/>
  <c r="N1220" i="2"/>
  <c r="N1275" i="2"/>
  <c r="N1289" i="2"/>
  <c r="C83" i="9"/>
  <c r="I1313" i="2"/>
  <c r="N1307" i="2"/>
  <c r="I1234" i="2"/>
  <c r="N1234" i="2" s="1"/>
  <c r="I1241" i="2"/>
  <c r="N1241" i="2" s="1"/>
  <c r="I1261" i="2"/>
  <c r="N1261" i="2" s="1"/>
  <c r="I1298" i="2"/>
  <c r="M1298" i="2"/>
  <c r="I1247" i="2"/>
  <c r="N1247" i="2" s="1"/>
  <c r="I1271" i="2"/>
  <c r="N1271" i="2" s="1"/>
  <c r="I1279" i="2"/>
  <c r="N1279" i="2" s="1"/>
  <c r="I1315" i="2"/>
  <c r="N1315" i="2" s="1"/>
  <c r="I1278" i="2"/>
  <c r="N1278" i="2" s="1"/>
  <c r="I1310" i="2"/>
  <c r="N1310" i="2" s="1"/>
  <c r="L303" i="1"/>
  <c r="L302" i="1"/>
  <c r="L301" i="1"/>
  <c r="L300" i="1"/>
  <c r="L299" i="1"/>
  <c r="L298" i="1"/>
  <c r="L297" i="1"/>
  <c r="L296" i="1"/>
  <c r="L295" i="1"/>
  <c r="L294" i="1"/>
  <c r="J303" i="1"/>
  <c r="J302" i="1"/>
  <c r="J301" i="1"/>
  <c r="J300" i="1"/>
  <c r="J299" i="1"/>
  <c r="J298" i="1"/>
  <c r="J297" i="1"/>
  <c r="J296" i="1"/>
  <c r="J295" i="1"/>
  <c r="J294" i="1"/>
  <c r="L293" i="1"/>
  <c r="L292" i="1"/>
  <c r="L291" i="1"/>
  <c r="L290" i="1"/>
  <c r="L289" i="1"/>
  <c r="L288" i="1"/>
  <c r="J290" i="1"/>
  <c r="J291" i="1"/>
  <c r="J292" i="1"/>
  <c r="J293" i="1"/>
  <c r="J289" i="1"/>
  <c r="J288" i="1"/>
  <c r="L311" i="1"/>
  <c r="J311" i="1"/>
  <c r="L306" i="1"/>
  <c r="I306" i="1"/>
  <c r="J306" i="1" s="1"/>
  <c r="L312" i="1"/>
  <c r="J312" i="1"/>
  <c r="L310" i="1"/>
  <c r="L308" i="1"/>
  <c r="J310" i="1"/>
  <c r="J308" i="1"/>
  <c r="H309" i="1"/>
  <c r="L309" i="1" s="1"/>
  <c r="L307" i="1"/>
  <c r="J307" i="1"/>
  <c r="L305" i="1"/>
  <c r="L304" i="1"/>
  <c r="J305" i="1"/>
  <c r="J304" i="1"/>
  <c r="C82" i="9" l="1"/>
  <c r="D82" i="9"/>
  <c r="D17" i="7"/>
  <c r="C86" i="9"/>
  <c r="N1313" i="2"/>
  <c r="D16" i="7"/>
  <c r="C81" i="9"/>
  <c r="D79" i="9"/>
  <c r="D81" i="9"/>
  <c r="C84" i="9"/>
  <c r="C80" i="9"/>
  <c r="C79" i="9"/>
  <c r="D84" i="9"/>
  <c r="D80" i="9"/>
  <c r="N1298" i="2"/>
  <c r="E16" i="7" s="1"/>
  <c r="J309" i="1"/>
  <c r="M309" i="1" s="1"/>
  <c r="M298" i="1"/>
  <c r="M294" i="1"/>
  <c r="M295" i="1"/>
  <c r="M310" i="1"/>
  <c r="M289" i="1"/>
  <c r="M304" i="1"/>
  <c r="M307" i="1"/>
  <c r="M306" i="1"/>
  <c r="M290" i="1"/>
  <c r="M288" i="1"/>
  <c r="M296" i="1"/>
  <c r="M292" i="1"/>
  <c r="M300" i="1"/>
  <c r="M301" i="1"/>
  <c r="M302" i="1"/>
  <c r="M305" i="1"/>
  <c r="M308" i="1"/>
  <c r="M311" i="1"/>
  <c r="M291" i="1"/>
  <c r="M293" i="1"/>
  <c r="M299" i="1"/>
  <c r="M312" i="1"/>
  <c r="M297" i="1"/>
  <c r="M303" i="1"/>
  <c r="L287" i="1"/>
  <c r="L286" i="1"/>
  <c r="L285" i="1"/>
  <c r="L284" i="1"/>
  <c r="L283" i="1"/>
  <c r="L282" i="1"/>
  <c r="L281" i="1"/>
  <c r="L280" i="1"/>
  <c r="L279" i="1"/>
  <c r="J287" i="1"/>
  <c r="J286" i="1"/>
  <c r="J285" i="1"/>
  <c r="J284" i="1"/>
  <c r="J283" i="1"/>
  <c r="J282" i="1"/>
  <c r="J281" i="1"/>
  <c r="J280" i="1"/>
  <c r="J279" i="1"/>
  <c r="E82" i="9" l="1"/>
  <c r="F16" i="7"/>
  <c r="E80" i="9"/>
  <c r="E84" i="9"/>
  <c r="E81" i="9"/>
  <c r="E79" i="9"/>
  <c r="D83" i="9"/>
  <c r="E83" i="9" s="1"/>
  <c r="E17" i="7"/>
  <c r="F17" i="7" s="1"/>
  <c r="D86" i="9"/>
  <c r="E86" i="9" s="1"/>
  <c r="M281" i="1"/>
  <c r="M282" i="1"/>
  <c r="M287" i="1"/>
  <c r="M280" i="1"/>
  <c r="M286" i="1"/>
  <c r="M279" i="1"/>
  <c r="M283" i="1"/>
  <c r="M285" i="1"/>
  <c r="M284" i="1"/>
  <c r="L272" i="1"/>
  <c r="L271" i="1"/>
  <c r="L270" i="1"/>
  <c r="L269" i="1"/>
  <c r="L268" i="1"/>
  <c r="L267" i="1"/>
  <c r="L266" i="1"/>
  <c r="L265" i="1"/>
  <c r="L264" i="1"/>
  <c r="J269" i="1"/>
  <c r="J270" i="1"/>
  <c r="J271" i="1"/>
  <c r="J272" i="1"/>
  <c r="J268" i="1"/>
  <c r="J267" i="1"/>
  <c r="J266" i="1"/>
  <c r="J265" i="1"/>
  <c r="J264" i="1"/>
  <c r="M267" i="1" l="1"/>
  <c r="M270" i="1"/>
  <c r="M266" i="1"/>
  <c r="M264" i="1"/>
  <c r="M269" i="1"/>
  <c r="M271" i="1"/>
  <c r="M265" i="1"/>
  <c r="M268" i="1"/>
  <c r="M272" i="1"/>
  <c r="M1103" i="2"/>
  <c r="I1219" i="2"/>
  <c r="M1215" i="2"/>
  <c r="M1214" i="2"/>
  <c r="M1213" i="2"/>
  <c r="M1212" i="2"/>
  <c r="M1211" i="2"/>
  <c r="M1209" i="2"/>
  <c r="M1208" i="2"/>
  <c r="M1207" i="2"/>
  <c r="M1206" i="2"/>
  <c r="M1205" i="2"/>
  <c r="M1203" i="2"/>
  <c r="M1200" i="2"/>
  <c r="M1199" i="2"/>
  <c r="M1198" i="2"/>
  <c r="M1196" i="2"/>
  <c r="M1193" i="2"/>
  <c r="M1192" i="2"/>
  <c r="M1191" i="2"/>
  <c r="M1189" i="2"/>
  <c r="M1185" i="2"/>
  <c r="M1183" i="2"/>
  <c r="M1182" i="2"/>
  <c r="M1181" i="2"/>
  <c r="M1180" i="2"/>
  <c r="M1175" i="2"/>
  <c r="M1173" i="2"/>
  <c r="M1168" i="2"/>
  <c r="M1167" i="2"/>
  <c r="M1166" i="2"/>
  <c r="M1165" i="2"/>
  <c r="M1160" i="2"/>
  <c r="M1159" i="2"/>
  <c r="M1150" i="2"/>
  <c r="M1149" i="2"/>
  <c r="M1148" i="2"/>
  <c r="M1146" i="2"/>
  <c r="M1144" i="2"/>
  <c r="M1143" i="2"/>
  <c r="M1142" i="2"/>
  <c r="M1138" i="2"/>
  <c r="M1137" i="2"/>
  <c r="M1134" i="2"/>
  <c r="M1122" i="2"/>
  <c r="M1121" i="2"/>
  <c r="M1119" i="2"/>
  <c r="M1116" i="2"/>
  <c r="M1110" i="2"/>
  <c r="M1108" i="2"/>
  <c r="M1092" i="2"/>
  <c r="M1090" i="2"/>
  <c r="M1086" i="2"/>
  <c r="M1084" i="2"/>
  <c r="M1081" i="2"/>
  <c r="M1080" i="2"/>
  <c r="M1079" i="2"/>
  <c r="M1076" i="2"/>
  <c r="M1074" i="2"/>
  <c r="M1069" i="2"/>
  <c r="M1068" i="2"/>
  <c r="M1066" i="2"/>
  <c r="M1061" i="2"/>
  <c r="M1059" i="2"/>
  <c r="M1051" i="2"/>
  <c r="M1050" i="2"/>
  <c r="M1049" i="2"/>
  <c r="M1046" i="2"/>
  <c r="M1045" i="2"/>
  <c r="M1043" i="2"/>
  <c r="M1042" i="2"/>
  <c r="M1040" i="2"/>
  <c r="M1034" i="2"/>
  <c r="M1031" i="2"/>
  <c r="M1029" i="2"/>
  <c r="M1028" i="2"/>
  <c r="M1027" i="2"/>
  <c r="M1021" i="2"/>
  <c r="M1019" i="2"/>
  <c r="M1015" i="2"/>
  <c r="M1013" i="2"/>
  <c r="M1012" i="2"/>
  <c r="M1011" i="2"/>
  <c r="M1009" i="2"/>
  <c r="M1004" i="2"/>
  <c r="M1002" i="2"/>
  <c r="M1001" i="2"/>
  <c r="M995" i="2"/>
  <c r="M994" i="2"/>
  <c r="M992" i="2"/>
  <c r="M990" i="2"/>
  <c r="M987" i="2"/>
  <c r="M986" i="2"/>
  <c r="M982" i="2"/>
  <c r="M981" i="2"/>
  <c r="M980" i="2"/>
  <c r="M979" i="2"/>
  <c r="M975" i="2"/>
  <c r="M973" i="2"/>
  <c r="M972" i="2"/>
  <c r="M969" i="2"/>
  <c r="M1124" i="2"/>
  <c r="M1107" i="2"/>
  <c r="M930" i="2"/>
  <c r="M878" i="2"/>
  <c r="M1169" i="2"/>
  <c r="M1140" i="2"/>
  <c r="M1133" i="2"/>
  <c r="M1123" i="2"/>
  <c r="M1111" i="2"/>
  <c r="M1106" i="2"/>
  <c r="M1094" i="2"/>
  <c r="M1063" i="2"/>
  <c r="M1057" i="2"/>
  <c r="M1047" i="2"/>
  <c r="M1044" i="2"/>
  <c r="M1041" i="2"/>
  <c r="M1035" i="2"/>
  <c r="M1030" i="2"/>
  <c r="M1022" i="2"/>
  <c r="M1016" i="2"/>
  <c r="M1008" i="2"/>
  <c r="M1003" i="2"/>
  <c r="M996" i="2"/>
  <c r="M993" i="2"/>
  <c r="M991" i="2"/>
  <c r="M971" i="2"/>
  <c r="M958" i="2"/>
  <c r="M947" i="2"/>
  <c r="M937" i="2"/>
  <c r="M891" i="2"/>
  <c r="M1164" i="2"/>
  <c r="M1153" i="2"/>
  <c r="M1104" i="2"/>
  <c r="M951" i="2"/>
  <c r="M938" i="2"/>
  <c r="M929" i="2"/>
  <c r="M925" i="2"/>
  <c r="M907" i="2"/>
  <c r="M873" i="2"/>
  <c r="M985" i="2"/>
  <c r="M1188" i="2"/>
  <c r="M1170" i="2"/>
  <c r="M1163" i="2"/>
  <c r="M1147" i="2"/>
  <c r="M1073" i="2"/>
  <c r="M1064" i="2"/>
  <c r="M1017" i="2"/>
  <c r="M1006" i="2"/>
  <c r="M1005" i="2"/>
  <c r="M998" i="2"/>
  <c r="M989" i="2"/>
  <c r="M977" i="2"/>
  <c r="M1195" i="2"/>
  <c r="M1158" i="2"/>
  <c r="M1036" i="2"/>
  <c r="M988" i="2"/>
  <c r="K1218" i="2"/>
  <c r="M1218" i="2" s="1"/>
  <c r="K1216" i="2"/>
  <c r="M1216" i="2" s="1"/>
  <c r="K1201" i="2"/>
  <c r="M1201" i="2" s="1"/>
  <c r="K1194" i="2"/>
  <c r="M1194" i="2" s="1"/>
  <c r="K1190" i="2"/>
  <c r="M1190" i="2" s="1"/>
  <c r="K1186" i="2"/>
  <c r="M1186" i="2" s="1"/>
  <c r="K1184" i="2"/>
  <c r="M1184" i="2" s="1"/>
  <c r="K1176" i="2"/>
  <c r="M1176" i="2" s="1"/>
  <c r="K1174" i="2"/>
  <c r="M1174" i="2" s="1"/>
  <c r="K1155" i="2"/>
  <c r="M1155" i="2" s="1"/>
  <c r="K1139" i="2"/>
  <c r="M1139" i="2" s="1"/>
  <c r="K1132" i="2"/>
  <c r="M1132" i="2" s="1"/>
  <c r="K1127" i="2"/>
  <c r="M1127" i="2" s="1"/>
  <c r="K1126" i="2"/>
  <c r="M1126" i="2" s="1"/>
  <c r="K1125" i="2"/>
  <c r="M1125" i="2" s="1"/>
  <c r="K1118" i="2"/>
  <c r="M1118" i="2" s="1"/>
  <c r="K1114" i="2"/>
  <c r="M1114" i="2" s="1"/>
  <c r="K1105" i="2"/>
  <c r="M1105" i="2" s="1"/>
  <c r="K1102" i="2"/>
  <c r="M1102" i="2" s="1"/>
  <c r="K1099" i="2"/>
  <c r="M1099" i="2" s="1"/>
  <c r="K1096" i="2"/>
  <c r="M1096" i="2" s="1"/>
  <c r="K1087" i="2"/>
  <c r="M1087" i="2" s="1"/>
  <c r="K1085" i="2"/>
  <c r="M1085" i="2" s="1"/>
  <c r="K1077" i="2"/>
  <c r="M1077" i="2" s="1"/>
  <c r="K1075" i="2"/>
  <c r="M1075" i="2" s="1"/>
  <c r="K1070" i="2"/>
  <c r="M1070" i="2" s="1"/>
  <c r="K1065" i="2"/>
  <c r="M1065" i="2" s="1"/>
  <c r="K1048" i="2"/>
  <c r="M1048" i="2" s="1"/>
  <c r="K1039" i="2"/>
  <c r="M1039" i="2" s="1"/>
  <c r="K1037" i="2"/>
  <c r="M1037" i="2" s="1"/>
  <c r="K1033" i="2"/>
  <c r="M1033" i="2" s="1"/>
  <c r="K1032" i="2"/>
  <c r="M1032" i="2" s="1"/>
  <c r="K1025" i="2"/>
  <c r="M1025" i="2" s="1"/>
  <c r="K1023" i="2"/>
  <c r="M1023" i="2" s="1"/>
  <c r="K1020" i="2"/>
  <c r="M1020" i="2" s="1"/>
  <c r="K1018" i="2"/>
  <c r="M1018" i="2" s="1"/>
  <c r="K1010" i="2"/>
  <c r="M1010" i="2" s="1"/>
  <c r="K1000" i="2"/>
  <c r="M1000" i="2" s="1"/>
  <c r="K999" i="2"/>
  <c r="M999" i="2" s="1"/>
  <c r="K984" i="2"/>
  <c r="M984" i="2" s="1"/>
  <c r="K983" i="2"/>
  <c r="M983" i="2" s="1"/>
  <c r="K978" i="2"/>
  <c r="M978" i="2" s="1"/>
  <c r="M1078" i="2"/>
  <c r="M1024" i="2"/>
  <c r="M1177" i="2"/>
  <c r="M1171" i="2"/>
  <c r="M1154" i="2"/>
  <c r="M1152" i="2"/>
  <c r="M1151" i="2"/>
  <c r="M1145" i="2"/>
  <c r="M1141" i="2"/>
  <c r="M1135" i="2"/>
  <c r="M1129" i="2"/>
  <c r="M1115" i="2"/>
  <c r="M1113" i="2"/>
  <c r="M1109" i="2"/>
  <c r="M1202" i="2"/>
  <c r="M1112" i="2"/>
  <c r="M1091" i="2"/>
  <c r="M1062" i="2"/>
  <c r="I1198" i="2"/>
  <c r="I1199" i="2"/>
  <c r="I1200" i="2"/>
  <c r="I1201" i="2"/>
  <c r="I1202" i="2"/>
  <c r="I1203" i="2"/>
  <c r="I1205" i="2"/>
  <c r="I1206" i="2"/>
  <c r="I1207" i="2"/>
  <c r="I1208" i="2"/>
  <c r="I1209" i="2"/>
  <c r="I1210" i="2"/>
  <c r="N1210" i="2" s="1"/>
  <c r="I1211" i="2"/>
  <c r="I1212" i="2"/>
  <c r="I1213" i="2"/>
  <c r="I1214" i="2"/>
  <c r="I1215" i="2"/>
  <c r="I1216" i="2"/>
  <c r="I1218" i="2"/>
  <c r="G1217" i="2"/>
  <c r="I1217" i="2" s="1"/>
  <c r="G1204" i="2"/>
  <c r="M1204" i="2" s="1"/>
  <c r="G1197" i="2"/>
  <c r="I1197" i="2" s="1"/>
  <c r="I1196" i="2"/>
  <c r="I1180" i="2"/>
  <c r="I1181" i="2"/>
  <c r="I1182" i="2"/>
  <c r="I1183" i="2"/>
  <c r="I1184" i="2"/>
  <c r="I1185" i="2"/>
  <c r="I1186" i="2"/>
  <c r="I1188" i="2"/>
  <c r="I1189" i="2"/>
  <c r="I1190" i="2"/>
  <c r="I1191" i="2"/>
  <c r="I1192" i="2"/>
  <c r="I1193" i="2"/>
  <c r="I1194" i="2"/>
  <c r="I1195" i="2"/>
  <c r="G1187" i="2"/>
  <c r="M1187" i="2" s="1"/>
  <c r="G1162" i="2"/>
  <c r="M1162" i="2" s="1"/>
  <c r="G1179" i="2"/>
  <c r="M1179" i="2" s="1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G1161" i="2"/>
  <c r="M1161" i="2" s="1"/>
  <c r="I1160" i="2"/>
  <c r="I1159" i="2"/>
  <c r="I1158" i="2"/>
  <c r="I1157" i="2"/>
  <c r="N1157" i="2" s="1"/>
  <c r="I1156" i="2"/>
  <c r="N1156" i="2" s="1"/>
  <c r="I1155" i="2"/>
  <c r="C74" i="9" s="1"/>
  <c r="I1129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G1131" i="2"/>
  <c r="M1131" i="2" s="1"/>
  <c r="G1130" i="2"/>
  <c r="I1130" i="2" s="1"/>
  <c r="I1109" i="2"/>
  <c r="I1110" i="2"/>
  <c r="I1111" i="2"/>
  <c r="I1112" i="2"/>
  <c r="I1113" i="2"/>
  <c r="I1114" i="2"/>
  <c r="I1115" i="2"/>
  <c r="I1116" i="2"/>
  <c r="I1118" i="2"/>
  <c r="I1119" i="2"/>
  <c r="I1121" i="2"/>
  <c r="I1122" i="2"/>
  <c r="I1123" i="2"/>
  <c r="I1124" i="2"/>
  <c r="I1125" i="2"/>
  <c r="I1126" i="2"/>
  <c r="I1127" i="2"/>
  <c r="I1108" i="2"/>
  <c r="I1107" i="2"/>
  <c r="I1106" i="2"/>
  <c r="I1105" i="2"/>
  <c r="G1128" i="2"/>
  <c r="M1128" i="2" s="1"/>
  <c r="G1120" i="2"/>
  <c r="M1120" i="2" s="1"/>
  <c r="G1117" i="2"/>
  <c r="M1117" i="2" s="1"/>
  <c r="G1101" i="2"/>
  <c r="M1101" i="2" s="1"/>
  <c r="G1100" i="2"/>
  <c r="M1100" i="2" s="1"/>
  <c r="I1102" i="2"/>
  <c r="I1103" i="2"/>
  <c r="I1104" i="2"/>
  <c r="L277" i="1"/>
  <c r="L278" i="1"/>
  <c r="J278" i="1"/>
  <c r="J277" i="1"/>
  <c r="I1179" i="2" l="1"/>
  <c r="N1179" i="2" s="1"/>
  <c r="I1101" i="2"/>
  <c r="N1101" i="2" s="1"/>
  <c r="I1161" i="2"/>
  <c r="N1161" i="2" s="1"/>
  <c r="I1187" i="2"/>
  <c r="N1187" i="2" s="1"/>
  <c r="C76" i="9"/>
  <c r="I1128" i="2"/>
  <c r="N1128" i="2" s="1"/>
  <c r="I1120" i="2"/>
  <c r="N1120" i="2" s="1"/>
  <c r="I1162" i="2"/>
  <c r="N1162" i="2" s="1"/>
  <c r="I1204" i="2"/>
  <c r="N1204" i="2" s="1"/>
  <c r="M1217" i="2"/>
  <c r="N1217" i="2" s="1"/>
  <c r="I1131" i="2"/>
  <c r="N1131" i="2" s="1"/>
  <c r="M1130" i="2"/>
  <c r="N1130" i="2" s="1"/>
  <c r="I1100" i="2"/>
  <c r="I1117" i="2"/>
  <c r="N1117" i="2" s="1"/>
  <c r="N1173" i="2"/>
  <c r="N1165" i="2"/>
  <c r="M277" i="1"/>
  <c r="N1114" i="2"/>
  <c r="N1150" i="2"/>
  <c r="N1108" i="2"/>
  <c r="N1137" i="2"/>
  <c r="N1193" i="2"/>
  <c r="N1102" i="2"/>
  <c r="N1144" i="2"/>
  <c r="N1200" i="2"/>
  <c r="N1160" i="2"/>
  <c r="N1191" i="2"/>
  <c r="N1183" i="2"/>
  <c r="N1116" i="2"/>
  <c r="N1205" i="2"/>
  <c r="N1212" i="2"/>
  <c r="N1142" i="2"/>
  <c r="N1207" i="2"/>
  <c r="N1121" i="2"/>
  <c r="N1167" i="2"/>
  <c r="N1214" i="2"/>
  <c r="N1198" i="2"/>
  <c r="N1119" i="2"/>
  <c r="N1166" i="2"/>
  <c r="N1181" i="2"/>
  <c r="N1148" i="2"/>
  <c r="N1209" i="2"/>
  <c r="N1208" i="2"/>
  <c r="N1146" i="2"/>
  <c r="N1122" i="2"/>
  <c r="N1143" i="2"/>
  <c r="N1180" i="2"/>
  <c r="N1192" i="2"/>
  <c r="N1206" i="2"/>
  <c r="N1215" i="2"/>
  <c r="N1182" i="2"/>
  <c r="N1196" i="2"/>
  <c r="N1138" i="2"/>
  <c r="N1159" i="2"/>
  <c r="N1175" i="2"/>
  <c r="N1189" i="2"/>
  <c r="N1203" i="2"/>
  <c r="N1213" i="2"/>
  <c r="N1110" i="2"/>
  <c r="N1134" i="2"/>
  <c r="N1149" i="2"/>
  <c r="N1168" i="2"/>
  <c r="N1185" i="2"/>
  <c r="N1199" i="2"/>
  <c r="N1211" i="2"/>
  <c r="N1133" i="2"/>
  <c r="N1158" i="2"/>
  <c r="N1201" i="2"/>
  <c r="N1107" i="2"/>
  <c r="N1124" i="2"/>
  <c r="N1164" i="2"/>
  <c r="N1106" i="2"/>
  <c r="N1140" i="2"/>
  <c r="N1111" i="2"/>
  <c r="N1169" i="2"/>
  <c r="N1123" i="2"/>
  <c r="N1125" i="2"/>
  <c r="N1153" i="2"/>
  <c r="N1218" i="2"/>
  <c r="N1139" i="2"/>
  <c r="N1163" i="2"/>
  <c r="N1104" i="2"/>
  <c r="N1176" i="2"/>
  <c r="N1194" i="2"/>
  <c r="N1127" i="2"/>
  <c r="N1170" i="2"/>
  <c r="N1186" i="2"/>
  <c r="N1126" i="2"/>
  <c r="N1188" i="2"/>
  <c r="N1147" i="2"/>
  <c r="N1113" i="2"/>
  <c r="N1141" i="2"/>
  <c r="N1154" i="2"/>
  <c r="N1118" i="2"/>
  <c r="N1174" i="2"/>
  <c r="N1216" i="2"/>
  <c r="N1105" i="2"/>
  <c r="N1155" i="2"/>
  <c r="N1195" i="2"/>
  <c r="N1184" i="2"/>
  <c r="N1132" i="2"/>
  <c r="N1190" i="2"/>
  <c r="N1103" i="2"/>
  <c r="N1115" i="2"/>
  <c r="N1145" i="2"/>
  <c r="N1129" i="2"/>
  <c r="N1151" i="2"/>
  <c r="N1171" i="2"/>
  <c r="N1109" i="2"/>
  <c r="N1135" i="2"/>
  <c r="N1152" i="2"/>
  <c r="N1177" i="2"/>
  <c r="M278" i="1"/>
  <c r="N1202" i="2"/>
  <c r="N1112" i="2"/>
  <c r="L276" i="1"/>
  <c r="L275" i="1"/>
  <c r="I276" i="1"/>
  <c r="J276" i="1" s="1"/>
  <c r="I275" i="1"/>
  <c r="J275" i="1" s="1"/>
  <c r="M1097" i="2"/>
  <c r="M1095" i="2"/>
  <c r="M1093" i="2"/>
  <c r="M1089" i="2"/>
  <c r="M1083" i="2"/>
  <c r="M1082" i="2"/>
  <c r="M1067" i="2"/>
  <c r="M1054" i="2"/>
  <c r="M976" i="2"/>
  <c r="M974" i="2"/>
  <c r="M964" i="2"/>
  <c r="M963" i="2"/>
  <c r="M961" i="2"/>
  <c r="M911" i="2"/>
  <c r="M880" i="2"/>
  <c r="M856" i="2"/>
  <c r="M855" i="2"/>
  <c r="M854" i="2"/>
  <c r="M829" i="2"/>
  <c r="M828" i="2"/>
  <c r="M800" i="2"/>
  <c r="M766" i="2"/>
  <c r="M721" i="2"/>
  <c r="K757" i="2"/>
  <c r="M757" i="2" s="1"/>
  <c r="L238" i="1"/>
  <c r="L239" i="1"/>
  <c r="L240" i="1"/>
  <c r="L241" i="1"/>
  <c r="L242" i="1"/>
  <c r="L243" i="1"/>
  <c r="L244" i="1"/>
  <c r="L245" i="1"/>
  <c r="L246" i="1"/>
  <c r="L247" i="1"/>
  <c r="L236" i="1"/>
  <c r="L237" i="1"/>
  <c r="L273" i="1"/>
  <c r="L274" i="1"/>
  <c r="L165" i="1"/>
  <c r="L166" i="1"/>
  <c r="L167" i="1"/>
  <c r="L169" i="1"/>
  <c r="L170" i="1"/>
  <c r="L171" i="1"/>
  <c r="L172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K168" i="1"/>
  <c r="L168" i="1" s="1"/>
  <c r="L235" i="1"/>
  <c r="D73" i="9" l="1"/>
  <c r="D77" i="9"/>
  <c r="D76" i="9"/>
  <c r="E76" i="9" s="1"/>
  <c r="C73" i="9"/>
  <c r="D74" i="9"/>
  <c r="E74" i="9" s="1"/>
  <c r="D75" i="9"/>
  <c r="N1100" i="2"/>
  <c r="D15" i="7"/>
  <c r="C72" i="9"/>
  <c r="C77" i="9"/>
  <c r="C75" i="9"/>
  <c r="M275" i="1"/>
  <c r="M276" i="1"/>
  <c r="J263" i="1"/>
  <c r="M263" i="1" s="1"/>
  <c r="J262" i="1"/>
  <c r="M262" i="1" s="1"/>
  <c r="J261" i="1"/>
  <c r="M261" i="1" s="1"/>
  <c r="J260" i="1"/>
  <c r="M260" i="1" s="1"/>
  <c r="J259" i="1"/>
  <c r="M259" i="1" s="1"/>
  <c r="J258" i="1"/>
  <c r="M258" i="1" s="1"/>
  <c r="J257" i="1"/>
  <c r="M257" i="1" s="1"/>
  <c r="J256" i="1"/>
  <c r="M256" i="1" s="1"/>
  <c r="J255" i="1"/>
  <c r="M255" i="1" s="1"/>
  <c r="J254" i="1"/>
  <c r="M254" i="1" s="1"/>
  <c r="J253" i="1"/>
  <c r="J252" i="1"/>
  <c r="M252" i="1" s="1"/>
  <c r="J251" i="1"/>
  <c r="M251" i="1" s="1"/>
  <c r="J250" i="1"/>
  <c r="M250" i="1" s="1"/>
  <c r="J249" i="1"/>
  <c r="M249" i="1" s="1"/>
  <c r="J248" i="1"/>
  <c r="M248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I274" i="1"/>
  <c r="J274" i="1" s="1"/>
  <c r="M274" i="1" s="1"/>
  <c r="I273" i="1"/>
  <c r="J273" i="1" s="1"/>
  <c r="M273" i="1" s="1"/>
  <c r="J237" i="1"/>
  <c r="M237" i="1" s="1"/>
  <c r="J236" i="1"/>
  <c r="M236" i="1" s="1"/>
  <c r="J247" i="1"/>
  <c r="M247" i="1" s="1"/>
  <c r="J246" i="1"/>
  <c r="M246" i="1" s="1"/>
  <c r="J245" i="1"/>
  <c r="M245" i="1" s="1"/>
  <c r="J243" i="1"/>
  <c r="M243" i="1" s="1"/>
  <c r="J244" i="1"/>
  <c r="M244" i="1" s="1"/>
  <c r="J242" i="1"/>
  <c r="M242" i="1" s="1"/>
  <c r="J241" i="1"/>
  <c r="M241" i="1" s="1"/>
  <c r="J240" i="1"/>
  <c r="M240" i="1" s="1"/>
  <c r="J239" i="1"/>
  <c r="M239" i="1" s="1"/>
  <c r="J238" i="1"/>
  <c r="M238" i="1" s="1"/>
  <c r="J235" i="1"/>
  <c r="M235" i="1" s="1"/>
  <c r="E77" i="9" l="1"/>
  <c r="E73" i="9"/>
  <c r="E75" i="9"/>
  <c r="E15" i="7"/>
  <c r="F15" i="7" s="1"/>
  <c r="D72" i="9"/>
  <c r="E72" i="9" s="1"/>
  <c r="G1098" i="2"/>
  <c r="I1091" i="2"/>
  <c r="N1091" i="2" s="1"/>
  <c r="I1092" i="2"/>
  <c r="N1092" i="2" s="1"/>
  <c r="I1093" i="2"/>
  <c r="N1093" i="2" s="1"/>
  <c r="I1094" i="2"/>
  <c r="N1094" i="2" s="1"/>
  <c r="I1095" i="2"/>
  <c r="N1095" i="2" s="1"/>
  <c r="I1096" i="2"/>
  <c r="N1096" i="2" s="1"/>
  <c r="I1097" i="2"/>
  <c r="N1097" i="2" s="1"/>
  <c r="I1099" i="2"/>
  <c r="N1099" i="2" s="1"/>
  <c r="I1090" i="2"/>
  <c r="N1090" i="2" s="1"/>
  <c r="I1089" i="2"/>
  <c r="N1089" i="2" s="1"/>
  <c r="I1088" i="2"/>
  <c r="I1087" i="2"/>
  <c r="N1087" i="2" s="1"/>
  <c r="I1086" i="2"/>
  <c r="I1072" i="2"/>
  <c r="I1073" i="2"/>
  <c r="N1073" i="2" s="1"/>
  <c r="I1074" i="2"/>
  <c r="N1074" i="2" s="1"/>
  <c r="I1075" i="2"/>
  <c r="N1075" i="2" s="1"/>
  <c r="I1076" i="2"/>
  <c r="N1076" i="2" s="1"/>
  <c r="I1077" i="2"/>
  <c r="N1077" i="2" s="1"/>
  <c r="I1078" i="2"/>
  <c r="N1078" i="2" s="1"/>
  <c r="I1079" i="2"/>
  <c r="N1079" i="2" s="1"/>
  <c r="I1080" i="2"/>
  <c r="N1080" i="2" s="1"/>
  <c r="I1081" i="2"/>
  <c r="N1081" i="2" s="1"/>
  <c r="I1082" i="2"/>
  <c r="N1082" i="2" s="1"/>
  <c r="I1083" i="2"/>
  <c r="N1083" i="2" s="1"/>
  <c r="I1084" i="2"/>
  <c r="N1084" i="2" s="1"/>
  <c r="I1085" i="2"/>
  <c r="N1085" i="2" s="1"/>
  <c r="I1070" i="2"/>
  <c r="N1070" i="2" s="1"/>
  <c r="I1069" i="2"/>
  <c r="G1071" i="2"/>
  <c r="M1071" i="2" s="1"/>
  <c r="I1053" i="2"/>
  <c r="I1054" i="2"/>
  <c r="N1054" i="2" s="1"/>
  <c r="I1055" i="2"/>
  <c r="I1056" i="2"/>
  <c r="I1057" i="2"/>
  <c r="N1057" i="2" s="1"/>
  <c r="I1058" i="2"/>
  <c r="I1059" i="2"/>
  <c r="N1059" i="2" s="1"/>
  <c r="I1061" i="2"/>
  <c r="N1061" i="2" s="1"/>
  <c r="I1062" i="2"/>
  <c r="N1062" i="2" s="1"/>
  <c r="I1063" i="2"/>
  <c r="N1063" i="2" s="1"/>
  <c r="I1064" i="2"/>
  <c r="N1064" i="2" s="1"/>
  <c r="I1065" i="2"/>
  <c r="N1065" i="2" s="1"/>
  <c r="I1066" i="2"/>
  <c r="N1066" i="2" s="1"/>
  <c r="I1067" i="2"/>
  <c r="N1067" i="2" s="1"/>
  <c r="I1068" i="2"/>
  <c r="N1068" i="2" s="1"/>
  <c r="I1051" i="2"/>
  <c r="N1051" i="2" s="1"/>
  <c r="I1050" i="2"/>
  <c r="N1050" i="2" s="1"/>
  <c r="I1049" i="2"/>
  <c r="G1060" i="2"/>
  <c r="M1060" i="2" s="1"/>
  <c r="G1052" i="2"/>
  <c r="M1052" i="2" s="1"/>
  <c r="G1038" i="2"/>
  <c r="M1038" i="2" s="1"/>
  <c r="G1026" i="2"/>
  <c r="I1027" i="2"/>
  <c r="N1027" i="2" s="1"/>
  <c r="I1028" i="2"/>
  <c r="N1028" i="2" s="1"/>
  <c r="I1029" i="2"/>
  <c r="I1030" i="2"/>
  <c r="N1030" i="2" s="1"/>
  <c r="I1031" i="2"/>
  <c r="N1031" i="2" s="1"/>
  <c r="I1032" i="2"/>
  <c r="N1032" i="2" s="1"/>
  <c r="I1033" i="2"/>
  <c r="N1033" i="2" s="1"/>
  <c r="I1034" i="2"/>
  <c r="N1034" i="2" s="1"/>
  <c r="I1035" i="2"/>
  <c r="N1035" i="2" s="1"/>
  <c r="I1036" i="2"/>
  <c r="N1036" i="2" s="1"/>
  <c r="I1037" i="2"/>
  <c r="N1037" i="2" s="1"/>
  <c r="I1039" i="2"/>
  <c r="N1039" i="2" s="1"/>
  <c r="I1040" i="2"/>
  <c r="N1040" i="2" s="1"/>
  <c r="I1041" i="2"/>
  <c r="N1041" i="2" s="1"/>
  <c r="I1042" i="2"/>
  <c r="N1042" i="2" s="1"/>
  <c r="I1043" i="2"/>
  <c r="N1043" i="2" s="1"/>
  <c r="I1044" i="2"/>
  <c r="N1044" i="2" s="1"/>
  <c r="I1045" i="2"/>
  <c r="N1045" i="2" s="1"/>
  <c r="I1046" i="2"/>
  <c r="N1046" i="2" s="1"/>
  <c r="I1047" i="2"/>
  <c r="N1047" i="2" s="1"/>
  <c r="I1048" i="2"/>
  <c r="N1048" i="2" s="1"/>
  <c r="I1025" i="2"/>
  <c r="N1025" i="2" s="1"/>
  <c r="I1024" i="2"/>
  <c r="N1024" i="2" s="1"/>
  <c r="I1023" i="2"/>
  <c r="N1023" i="2" s="1"/>
  <c r="I1022" i="2"/>
  <c r="N1022" i="2" s="1"/>
  <c r="I1021" i="2"/>
  <c r="G997" i="2"/>
  <c r="M997" i="2" s="1"/>
  <c r="G1014" i="2"/>
  <c r="M1014" i="2" s="1"/>
  <c r="I998" i="2"/>
  <c r="N998" i="2" s="1"/>
  <c r="I999" i="2"/>
  <c r="N999" i="2" s="1"/>
  <c r="I1000" i="2"/>
  <c r="N1000" i="2" s="1"/>
  <c r="I1001" i="2"/>
  <c r="N1001" i="2" s="1"/>
  <c r="I1002" i="2"/>
  <c r="N1002" i="2" s="1"/>
  <c r="I1003" i="2"/>
  <c r="N1003" i="2" s="1"/>
  <c r="I1004" i="2"/>
  <c r="N1004" i="2" s="1"/>
  <c r="I1005" i="2"/>
  <c r="N1005" i="2" s="1"/>
  <c r="I1006" i="2"/>
  <c r="N1006" i="2" s="1"/>
  <c r="I1007" i="2"/>
  <c r="I1008" i="2"/>
  <c r="N1008" i="2" s="1"/>
  <c r="I1009" i="2"/>
  <c r="N1009" i="2" s="1"/>
  <c r="I1010" i="2"/>
  <c r="N1010" i="2" s="1"/>
  <c r="I1011" i="2"/>
  <c r="N1011" i="2" s="1"/>
  <c r="I1012" i="2"/>
  <c r="N1012" i="2" s="1"/>
  <c r="I1013" i="2"/>
  <c r="N1013" i="2" s="1"/>
  <c r="I1015" i="2"/>
  <c r="N1015" i="2" s="1"/>
  <c r="I1016" i="2"/>
  <c r="N1016" i="2" s="1"/>
  <c r="I1017" i="2"/>
  <c r="N1017" i="2" s="1"/>
  <c r="I1018" i="2"/>
  <c r="N1018" i="2" s="1"/>
  <c r="I1019" i="2"/>
  <c r="N1019" i="2" s="1"/>
  <c r="I1020" i="2"/>
  <c r="N1020" i="2" s="1"/>
  <c r="I970" i="2"/>
  <c r="I971" i="2"/>
  <c r="N971" i="2" s="1"/>
  <c r="I972" i="2"/>
  <c r="N972" i="2" s="1"/>
  <c r="I973" i="2"/>
  <c r="I974" i="2"/>
  <c r="N974" i="2" s="1"/>
  <c r="I975" i="2"/>
  <c r="N975" i="2" s="1"/>
  <c r="I976" i="2"/>
  <c r="N976" i="2" s="1"/>
  <c r="I977" i="2"/>
  <c r="N977" i="2" s="1"/>
  <c r="I978" i="2"/>
  <c r="N978" i="2" s="1"/>
  <c r="I979" i="2"/>
  <c r="N979" i="2" s="1"/>
  <c r="I980" i="2"/>
  <c r="N980" i="2" s="1"/>
  <c r="I981" i="2"/>
  <c r="N981" i="2" s="1"/>
  <c r="I982" i="2"/>
  <c r="N982" i="2" s="1"/>
  <c r="I983" i="2"/>
  <c r="N983" i="2" s="1"/>
  <c r="I984" i="2"/>
  <c r="N984" i="2" s="1"/>
  <c r="I985" i="2"/>
  <c r="N985" i="2" s="1"/>
  <c r="I986" i="2"/>
  <c r="N986" i="2" s="1"/>
  <c r="I987" i="2"/>
  <c r="N987" i="2" s="1"/>
  <c r="I988" i="2"/>
  <c r="N988" i="2" s="1"/>
  <c r="I989" i="2"/>
  <c r="N989" i="2" s="1"/>
  <c r="I990" i="2"/>
  <c r="N990" i="2" s="1"/>
  <c r="I991" i="2"/>
  <c r="N991" i="2" s="1"/>
  <c r="I992" i="2"/>
  <c r="N992" i="2" s="1"/>
  <c r="I993" i="2"/>
  <c r="N993" i="2" s="1"/>
  <c r="I994" i="2"/>
  <c r="N994" i="2" s="1"/>
  <c r="I995" i="2"/>
  <c r="N995" i="2" s="1"/>
  <c r="I996" i="2"/>
  <c r="N996" i="2" s="1"/>
  <c r="I969" i="2"/>
  <c r="I997" i="2" l="1"/>
  <c r="N973" i="2"/>
  <c r="E5" i="8"/>
  <c r="I1071" i="2"/>
  <c r="N1071" i="2" s="1"/>
  <c r="I1014" i="2"/>
  <c r="C66" i="9" s="1"/>
  <c r="I1052" i="2"/>
  <c r="N1052" i="2" s="1"/>
  <c r="C65" i="9"/>
  <c r="N1021" i="2"/>
  <c r="N1049" i="2"/>
  <c r="N1069" i="2"/>
  <c r="C69" i="9"/>
  <c r="N1086" i="2"/>
  <c r="N997" i="2"/>
  <c r="I1038" i="2"/>
  <c r="N1038" i="2" s="1"/>
  <c r="I1026" i="2"/>
  <c r="M1026" i="2"/>
  <c r="I1060" i="2"/>
  <c r="I1098" i="2"/>
  <c r="C70" i="9" s="1"/>
  <c r="M1098" i="2"/>
  <c r="N969" i="2"/>
  <c r="M968" i="2"/>
  <c r="M967" i="2"/>
  <c r="M962" i="2"/>
  <c r="M955" i="2"/>
  <c r="M950" i="2"/>
  <c r="M949" i="2"/>
  <c r="M948" i="2"/>
  <c r="M941" i="2"/>
  <c r="M940" i="2"/>
  <c r="M936" i="2"/>
  <c r="M927" i="2"/>
  <c r="M926" i="2"/>
  <c r="M921" i="2"/>
  <c r="M920" i="2"/>
  <c r="M918" i="2"/>
  <c r="M917" i="2"/>
  <c r="M916" i="2"/>
  <c r="M915" i="2"/>
  <c r="M914" i="2"/>
  <c r="M913" i="2"/>
  <c r="M910" i="2"/>
  <c r="M909" i="2"/>
  <c r="M906" i="2"/>
  <c r="M897" i="2"/>
  <c r="M896" i="2"/>
  <c r="M895" i="2"/>
  <c r="M894" i="2"/>
  <c r="M890" i="2"/>
  <c r="M889" i="2"/>
  <c r="M887" i="2"/>
  <c r="M886" i="2"/>
  <c r="M885" i="2"/>
  <c r="M884" i="2"/>
  <c r="M883" i="2"/>
  <c r="M882" i="2"/>
  <c r="M877" i="2"/>
  <c r="M872" i="2"/>
  <c r="M871" i="2"/>
  <c r="M870" i="2"/>
  <c r="M868" i="2"/>
  <c r="M867" i="2"/>
  <c r="M866" i="2"/>
  <c r="M864" i="2"/>
  <c r="M863" i="2"/>
  <c r="M861" i="2"/>
  <c r="M860" i="2"/>
  <c r="M853" i="2"/>
  <c r="M852" i="2"/>
  <c r="M850" i="2"/>
  <c r="M848" i="2"/>
  <c r="M841" i="2"/>
  <c r="M840" i="2"/>
  <c r="M839" i="2"/>
  <c r="M837" i="2"/>
  <c r="M832" i="2"/>
  <c r="M830" i="2"/>
  <c r="M825" i="2"/>
  <c r="M823" i="2"/>
  <c r="M822" i="2"/>
  <c r="M819" i="2"/>
  <c r="M818" i="2"/>
  <c r="M816" i="2"/>
  <c r="M813" i="2"/>
  <c r="M812" i="2"/>
  <c r="M811" i="2"/>
  <c r="M807" i="2"/>
  <c r="M806" i="2"/>
  <c r="M805" i="2"/>
  <c r="M803" i="2"/>
  <c r="M798" i="2"/>
  <c r="M797" i="2"/>
  <c r="M794" i="2"/>
  <c r="M793" i="2"/>
  <c r="M789" i="2"/>
  <c r="M788" i="2"/>
  <c r="M785" i="2"/>
  <c r="M784" i="2"/>
  <c r="M776" i="2"/>
  <c r="M774" i="2"/>
  <c r="M772" i="2"/>
  <c r="M771" i="2"/>
  <c r="M767" i="2"/>
  <c r="M765" i="2"/>
  <c r="M759" i="2"/>
  <c r="M754" i="2"/>
  <c r="M751" i="2"/>
  <c r="M750" i="2"/>
  <c r="M746" i="2"/>
  <c r="M966" i="2"/>
  <c r="M946" i="2"/>
  <c r="M942" i="2"/>
  <c r="M923" i="2"/>
  <c r="M919" i="2"/>
  <c r="M905" i="2"/>
  <c r="M881" i="2"/>
  <c r="M957" i="2"/>
  <c r="M945" i="2"/>
  <c r="M903" i="2"/>
  <c r="K956" i="2"/>
  <c r="M956" i="2" s="1"/>
  <c r="K944" i="2"/>
  <c r="M944" i="2" s="1"/>
  <c r="K943" i="2"/>
  <c r="M943" i="2" s="1"/>
  <c r="K939" i="2"/>
  <c r="M939" i="2" s="1"/>
  <c r="K932" i="2"/>
  <c r="M932" i="2" s="1"/>
  <c r="K928" i="2"/>
  <c r="M928" i="2" s="1"/>
  <c r="K924" i="2"/>
  <c r="M924" i="2" s="1"/>
  <c r="K912" i="2"/>
  <c r="M912" i="2" s="1"/>
  <c r="K908" i="2"/>
  <c r="M908" i="2" s="1"/>
  <c r="K904" i="2"/>
  <c r="M904" i="2" s="1"/>
  <c r="K902" i="2"/>
  <c r="M902" i="2" s="1"/>
  <c r="K893" i="2"/>
  <c r="M893" i="2" s="1"/>
  <c r="K888" i="2"/>
  <c r="M888" i="2" s="1"/>
  <c r="K874" i="2"/>
  <c r="M874" i="2" s="1"/>
  <c r="K869" i="2"/>
  <c r="M869" i="2" s="1"/>
  <c r="K865" i="2"/>
  <c r="M865" i="2" s="1"/>
  <c r="M922" i="2"/>
  <c r="M892" i="2"/>
  <c r="I955" i="2"/>
  <c r="I956" i="2"/>
  <c r="I957" i="2"/>
  <c r="I958" i="2"/>
  <c r="N958" i="2" s="1"/>
  <c r="I960" i="2"/>
  <c r="I961" i="2"/>
  <c r="N961" i="2" s="1"/>
  <c r="I962" i="2"/>
  <c r="I963" i="2"/>
  <c r="N963" i="2" s="1"/>
  <c r="I964" i="2"/>
  <c r="N964" i="2" s="1"/>
  <c r="I965" i="2"/>
  <c r="I966" i="2"/>
  <c r="I967" i="2"/>
  <c r="I968" i="2"/>
  <c r="G959" i="2"/>
  <c r="M959" i="2" s="1"/>
  <c r="G954" i="2"/>
  <c r="M954" i="2" s="1"/>
  <c r="I943" i="2"/>
  <c r="I944" i="2"/>
  <c r="I945" i="2"/>
  <c r="I946" i="2"/>
  <c r="I947" i="2"/>
  <c r="N947" i="2" s="1"/>
  <c r="I948" i="2"/>
  <c r="I949" i="2"/>
  <c r="I950" i="2"/>
  <c r="I951" i="2"/>
  <c r="N951" i="2" s="1"/>
  <c r="I952" i="2"/>
  <c r="I936" i="2"/>
  <c r="I937" i="2"/>
  <c r="N937" i="2" s="1"/>
  <c r="I938" i="2"/>
  <c r="N938" i="2" s="1"/>
  <c r="I939" i="2"/>
  <c r="I940" i="2"/>
  <c r="I941" i="2"/>
  <c r="I942" i="2"/>
  <c r="G933" i="2"/>
  <c r="I933" i="2" s="1"/>
  <c r="I932" i="2"/>
  <c r="I931" i="2"/>
  <c r="I930" i="2"/>
  <c r="N930" i="2" s="1"/>
  <c r="I929" i="2"/>
  <c r="N929" i="2" s="1"/>
  <c r="I928" i="2"/>
  <c r="I927" i="2"/>
  <c r="I926" i="2"/>
  <c r="I925" i="2"/>
  <c r="N925" i="2" s="1"/>
  <c r="I924" i="2"/>
  <c r="I923" i="2"/>
  <c r="G935" i="2"/>
  <c r="M935" i="2" s="1"/>
  <c r="G934" i="2"/>
  <c r="M934" i="2" s="1"/>
  <c r="I918" i="2"/>
  <c r="I919" i="2"/>
  <c r="I920" i="2"/>
  <c r="I921" i="2"/>
  <c r="I922" i="2"/>
  <c r="I917" i="2"/>
  <c r="I904" i="2"/>
  <c r="I905" i="2"/>
  <c r="I906" i="2"/>
  <c r="I907" i="2"/>
  <c r="N907" i="2" s="1"/>
  <c r="I908" i="2"/>
  <c r="I909" i="2"/>
  <c r="I910" i="2"/>
  <c r="I911" i="2"/>
  <c r="N911" i="2" s="1"/>
  <c r="I912" i="2"/>
  <c r="I913" i="2"/>
  <c r="I914" i="2"/>
  <c r="I915" i="2"/>
  <c r="I916" i="2"/>
  <c r="I899" i="2"/>
  <c r="I902" i="2"/>
  <c r="I903" i="2"/>
  <c r="I897" i="2"/>
  <c r="I896" i="2"/>
  <c r="I895" i="2"/>
  <c r="I894" i="2"/>
  <c r="I893" i="2"/>
  <c r="I892" i="2"/>
  <c r="I891" i="2"/>
  <c r="N891" i="2" s="1"/>
  <c r="G901" i="2"/>
  <c r="I901" i="2" s="1"/>
  <c r="G900" i="2"/>
  <c r="M900" i="2" s="1"/>
  <c r="G898" i="2"/>
  <c r="I898" i="2" s="1"/>
  <c r="I885" i="2"/>
  <c r="I886" i="2"/>
  <c r="I887" i="2"/>
  <c r="I888" i="2"/>
  <c r="I889" i="2"/>
  <c r="I890" i="2"/>
  <c r="I877" i="2"/>
  <c r="I878" i="2"/>
  <c r="N878" i="2" s="1"/>
  <c r="I879" i="2"/>
  <c r="N879" i="2" s="1"/>
  <c r="I880" i="2"/>
  <c r="N880" i="2" s="1"/>
  <c r="I881" i="2"/>
  <c r="I882" i="2"/>
  <c r="I883" i="2"/>
  <c r="I884" i="2"/>
  <c r="I876" i="2"/>
  <c r="I875" i="2"/>
  <c r="I874" i="2"/>
  <c r="I873" i="2"/>
  <c r="N873" i="2" s="1"/>
  <c r="I872" i="2"/>
  <c r="I871" i="2"/>
  <c r="I870" i="2"/>
  <c r="I869" i="2"/>
  <c r="I868" i="2"/>
  <c r="I867" i="2"/>
  <c r="I866" i="2"/>
  <c r="I865" i="2"/>
  <c r="I864" i="2"/>
  <c r="C68" i="9" l="1"/>
  <c r="N1014" i="2"/>
  <c r="D14" i="7"/>
  <c r="D19" i="7" s="1"/>
  <c r="I4" i="7" s="1"/>
  <c r="F5" i="8"/>
  <c r="C67" i="9"/>
  <c r="C59" i="9"/>
  <c r="I934" i="2"/>
  <c r="N934" i="2" s="1"/>
  <c r="D66" i="9"/>
  <c r="E66" i="9" s="1"/>
  <c r="D69" i="9"/>
  <c r="E69" i="9" s="1"/>
  <c r="D68" i="9"/>
  <c r="C57" i="9"/>
  <c r="D65" i="9"/>
  <c r="N1098" i="2"/>
  <c r="D70" i="9" s="1"/>
  <c r="E70" i="9" s="1"/>
  <c r="I900" i="2"/>
  <c r="N900" i="2" s="1"/>
  <c r="I935" i="2"/>
  <c r="N935" i="2" s="1"/>
  <c r="I954" i="2"/>
  <c r="N954" i="2" s="1"/>
  <c r="M898" i="2"/>
  <c r="N898" i="2" s="1"/>
  <c r="M901" i="2"/>
  <c r="N901" i="2" s="1"/>
  <c r="I959" i="2"/>
  <c r="N959" i="2" s="1"/>
  <c r="N1026" i="2"/>
  <c r="D67" i="9" s="1"/>
  <c r="M933" i="2"/>
  <c r="N933" i="2" s="1"/>
  <c r="N893" i="2"/>
  <c r="N865" i="2"/>
  <c r="N932" i="2"/>
  <c r="N864" i="2"/>
  <c r="N870" i="2"/>
  <c r="N886" i="2"/>
  <c r="N894" i="2"/>
  <c r="N910" i="2"/>
  <c r="N921" i="2"/>
  <c r="N948" i="2"/>
  <c r="N866" i="2"/>
  <c r="N871" i="2"/>
  <c r="N883" i="2"/>
  <c r="N887" i="2"/>
  <c r="N895" i="2"/>
  <c r="N913" i="2"/>
  <c r="N917" i="2"/>
  <c r="N926" i="2"/>
  <c r="N936" i="2"/>
  <c r="N949" i="2"/>
  <c r="N962" i="2"/>
  <c r="N882" i="2"/>
  <c r="N916" i="2"/>
  <c r="N867" i="2"/>
  <c r="N872" i="2"/>
  <c r="N884" i="2"/>
  <c r="N889" i="2"/>
  <c r="N896" i="2"/>
  <c r="N906" i="2"/>
  <c r="N914" i="2"/>
  <c r="N918" i="2"/>
  <c r="N927" i="2"/>
  <c r="N940" i="2"/>
  <c r="N950" i="2"/>
  <c r="N967" i="2"/>
  <c r="N955" i="2"/>
  <c r="N868" i="2"/>
  <c r="N877" i="2"/>
  <c r="N885" i="2"/>
  <c r="N890" i="2"/>
  <c r="N897" i="2"/>
  <c r="N909" i="2"/>
  <c r="N915" i="2"/>
  <c r="N920" i="2"/>
  <c r="N941" i="2"/>
  <c r="N968" i="2"/>
  <c r="N945" i="2"/>
  <c r="N942" i="2"/>
  <c r="N908" i="2"/>
  <c r="N905" i="2"/>
  <c r="N924" i="2"/>
  <c r="N946" i="2"/>
  <c r="N881" i="2"/>
  <c r="N923" i="2"/>
  <c r="N919" i="2"/>
  <c r="N874" i="2"/>
  <c r="N943" i="2"/>
  <c r="N966" i="2"/>
  <c r="N902" i="2"/>
  <c r="N928" i="2"/>
  <c r="N939" i="2"/>
  <c r="N888" i="2"/>
  <c r="N903" i="2"/>
  <c r="N912" i="2"/>
  <c r="N956" i="2"/>
  <c r="N869" i="2"/>
  <c r="N904" i="2"/>
  <c r="N944" i="2"/>
  <c r="N957" i="2"/>
  <c r="N922" i="2"/>
  <c r="N892" i="2"/>
  <c r="L224" i="1"/>
  <c r="L223" i="1"/>
  <c r="L222" i="1"/>
  <c r="L221" i="1"/>
  <c r="L220" i="1"/>
  <c r="L219" i="1"/>
  <c r="L218" i="1"/>
  <c r="L217" i="1"/>
  <c r="L216" i="1"/>
  <c r="L215" i="1"/>
  <c r="L214" i="1"/>
  <c r="L213" i="1"/>
  <c r="J224" i="1"/>
  <c r="J223" i="1"/>
  <c r="J222" i="1"/>
  <c r="J221" i="1"/>
  <c r="J220" i="1"/>
  <c r="J219" i="1"/>
  <c r="J218" i="1"/>
  <c r="J217" i="1"/>
  <c r="J216" i="1"/>
  <c r="M216" i="1" s="1"/>
  <c r="J215" i="1"/>
  <c r="J214" i="1"/>
  <c r="J213" i="1"/>
  <c r="L206" i="1"/>
  <c r="L207" i="1"/>
  <c r="L208" i="1"/>
  <c r="L209" i="1"/>
  <c r="L210" i="1"/>
  <c r="L211" i="1"/>
  <c r="L212" i="1"/>
  <c r="J212" i="1"/>
  <c r="J211" i="1"/>
  <c r="J210" i="1"/>
  <c r="J209" i="1"/>
  <c r="J208" i="1"/>
  <c r="J207" i="1"/>
  <c r="J206" i="1"/>
  <c r="L203" i="1"/>
  <c r="L204" i="1"/>
  <c r="L205" i="1"/>
  <c r="L225" i="1"/>
  <c r="L226" i="1"/>
  <c r="L227" i="1"/>
  <c r="L228" i="1"/>
  <c r="L229" i="1"/>
  <c r="L230" i="1"/>
  <c r="L231" i="1"/>
  <c r="L232" i="1"/>
  <c r="L233" i="1"/>
  <c r="L234" i="1"/>
  <c r="J234" i="1"/>
  <c r="J233" i="1"/>
  <c r="J232" i="1"/>
  <c r="J231" i="1"/>
  <c r="J230" i="1"/>
  <c r="J229" i="1"/>
  <c r="J228" i="1"/>
  <c r="J227" i="1"/>
  <c r="J226" i="1"/>
  <c r="J225" i="1"/>
  <c r="E68" i="9" l="1"/>
  <c r="C95" i="9"/>
  <c r="D62" i="9"/>
  <c r="D59" i="9"/>
  <c r="E59" i="9" s="1"/>
  <c r="C60" i="9"/>
  <c r="E67" i="9"/>
  <c r="D60" i="9"/>
  <c r="D58" i="9"/>
  <c r="E14" i="7"/>
  <c r="E19" i="7" s="1"/>
  <c r="C62" i="9"/>
  <c r="D61" i="9"/>
  <c r="C58" i="9"/>
  <c r="D12" i="7"/>
  <c r="C61" i="9"/>
  <c r="E12" i="7"/>
  <c r="D57" i="9"/>
  <c r="E57" i="9" s="1"/>
  <c r="D95" i="9"/>
  <c r="E65" i="9"/>
  <c r="M218" i="1"/>
  <c r="M231" i="1"/>
  <c r="M229" i="1"/>
  <c r="M225" i="1"/>
  <c r="M211" i="1"/>
  <c r="M223" i="1"/>
  <c r="M227" i="1"/>
  <c r="M226" i="1"/>
  <c r="M212" i="1"/>
  <c r="M233" i="1"/>
  <c r="M232" i="1"/>
  <c r="M228" i="1"/>
  <c r="M208" i="1"/>
  <c r="M224" i="1"/>
  <c r="M217" i="1"/>
  <c r="M234" i="1"/>
  <c r="M207" i="1"/>
  <c r="M230" i="1"/>
  <c r="M206" i="1"/>
  <c r="M220" i="1"/>
  <c r="M219" i="1"/>
  <c r="M214" i="1"/>
  <c r="M221" i="1"/>
  <c r="M209" i="1"/>
  <c r="M213" i="1"/>
  <c r="M210" i="1"/>
  <c r="M215" i="1"/>
  <c r="M222" i="1"/>
  <c r="M857" i="2"/>
  <c r="M847" i="2"/>
  <c r="M833" i="2"/>
  <c r="M820" i="2"/>
  <c r="M791" i="2"/>
  <c r="M787" i="2"/>
  <c r="M858" i="2"/>
  <c r="M851" i="2"/>
  <c r="M842" i="2"/>
  <c r="M824" i="2"/>
  <c r="M810" i="2"/>
  <c r="M808" i="2"/>
  <c r="M795" i="2"/>
  <c r="M792" i="2"/>
  <c r="M782" i="2"/>
  <c r="M777" i="2"/>
  <c r="K859" i="2"/>
  <c r="M859" i="2" s="1"/>
  <c r="K849" i="2"/>
  <c r="M849" i="2" s="1"/>
  <c r="K834" i="2"/>
  <c r="M834" i="2" s="1"/>
  <c r="K815" i="2"/>
  <c r="M815" i="2" s="1"/>
  <c r="K814" i="2"/>
  <c r="M814" i="2" s="1"/>
  <c r="K804" i="2"/>
  <c r="M804" i="2" s="1"/>
  <c r="K799" i="2"/>
  <c r="M799" i="2" s="1"/>
  <c r="K790" i="2"/>
  <c r="M790" i="2" s="1"/>
  <c r="K786" i="2"/>
  <c r="M786" i="2" s="1"/>
  <c r="K781" i="2"/>
  <c r="M781" i="2" s="1"/>
  <c r="K778" i="2"/>
  <c r="M778" i="2" s="1"/>
  <c r="K775" i="2"/>
  <c r="M775" i="2" s="1"/>
  <c r="K760" i="2"/>
  <c r="M760" i="2" s="1"/>
  <c r="K752" i="2"/>
  <c r="M758" i="2"/>
  <c r="M845" i="2"/>
  <c r="M844" i="2"/>
  <c r="M843" i="2"/>
  <c r="M801" i="2"/>
  <c r="M779" i="2"/>
  <c r="M761" i="2"/>
  <c r="M780" i="2"/>
  <c r="M838" i="2"/>
  <c r="M835" i="2"/>
  <c r="G862" i="2"/>
  <c r="M862" i="2" s="1"/>
  <c r="I847" i="2"/>
  <c r="I848" i="2"/>
  <c r="N848" i="2" s="1"/>
  <c r="I849" i="2"/>
  <c r="I850" i="2"/>
  <c r="N850" i="2" s="1"/>
  <c r="I851" i="2"/>
  <c r="I852" i="2"/>
  <c r="N852" i="2" s="1"/>
  <c r="I853" i="2"/>
  <c r="N853" i="2" s="1"/>
  <c r="I854" i="2"/>
  <c r="N854" i="2" s="1"/>
  <c r="I855" i="2"/>
  <c r="N855" i="2" s="1"/>
  <c r="I856" i="2"/>
  <c r="N856" i="2" s="1"/>
  <c r="I857" i="2"/>
  <c r="I858" i="2"/>
  <c r="I859" i="2"/>
  <c r="I860" i="2"/>
  <c r="N860" i="2" s="1"/>
  <c r="I861" i="2"/>
  <c r="N861" i="2" s="1"/>
  <c r="I863" i="2"/>
  <c r="N863" i="2" s="1"/>
  <c r="I845" i="2"/>
  <c r="I844" i="2"/>
  <c r="I843" i="2"/>
  <c r="I842" i="2"/>
  <c r="I841" i="2"/>
  <c r="N841" i="2" s="1"/>
  <c r="I840" i="2"/>
  <c r="N840" i="2" s="1"/>
  <c r="G846" i="2"/>
  <c r="I846" i="2" s="1"/>
  <c r="I832" i="2"/>
  <c r="N832" i="2" s="1"/>
  <c r="I833" i="2"/>
  <c r="I834" i="2"/>
  <c r="I835" i="2"/>
  <c r="I837" i="2"/>
  <c r="N837" i="2" s="1"/>
  <c r="I838" i="2"/>
  <c r="I839" i="2"/>
  <c r="N839" i="2" s="1"/>
  <c r="G836" i="2"/>
  <c r="M836" i="2" s="1"/>
  <c r="I831" i="2"/>
  <c r="G827" i="2"/>
  <c r="I827" i="2" s="1"/>
  <c r="I828" i="2"/>
  <c r="N828" i="2" s="1"/>
  <c r="I829" i="2"/>
  <c r="N829" i="2" s="1"/>
  <c r="I830" i="2"/>
  <c r="N830" i="2" s="1"/>
  <c r="G817" i="2"/>
  <c r="I817" i="2" s="1"/>
  <c r="I816" i="2"/>
  <c r="I818" i="2"/>
  <c r="N818" i="2" s="1"/>
  <c r="I819" i="2"/>
  <c r="N819" i="2" s="1"/>
  <c r="I820" i="2"/>
  <c r="I821" i="2"/>
  <c r="N821" i="2" s="1"/>
  <c r="I822" i="2"/>
  <c r="N822" i="2" s="1"/>
  <c r="I823" i="2"/>
  <c r="N823" i="2" s="1"/>
  <c r="I824" i="2"/>
  <c r="I825" i="2"/>
  <c r="N825" i="2" s="1"/>
  <c r="G826" i="2"/>
  <c r="M826" i="2" s="1"/>
  <c r="I792" i="2"/>
  <c r="I793" i="2"/>
  <c r="N793" i="2" s="1"/>
  <c r="I794" i="2"/>
  <c r="N794" i="2" s="1"/>
  <c r="I795" i="2"/>
  <c r="I797" i="2"/>
  <c r="N797" i="2" s="1"/>
  <c r="I798" i="2"/>
  <c r="N798" i="2" s="1"/>
  <c r="I799" i="2"/>
  <c r="I800" i="2"/>
  <c r="N800" i="2" s="1"/>
  <c r="I801" i="2"/>
  <c r="I803" i="2"/>
  <c r="N803" i="2" s="1"/>
  <c r="I804" i="2"/>
  <c r="I805" i="2"/>
  <c r="N805" i="2" s="1"/>
  <c r="I806" i="2"/>
  <c r="N806" i="2" s="1"/>
  <c r="I807" i="2"/>
  <c r="N807" i="2" s="1"/>
  <c r="I808" i="2"/>
  <c r="I809" i="2"/>
  <c r="I810" i="2"/>
  <c r="I811" i="2"/>
  <c r="N811" i="2" s="1"/>
  <c r="I812" i="2"/>
  <c r="N812" i="2" s="1"/>
  <c r="I813" i="2"/>
  <c r="N813" i="2" s="1"/>
  <c r="I814" i="2"/>
  <c r="I815" i="2"/>
  <c r="G802" i="2"/>
  <c r="M802" i="2" s="1"/>
  <c r="G796" i="2"/>
  <c r="M796" i="2" s="1"/>
  <c r="I784" i="2"/>
  <c r="N784" i="2" s="1"/>
  <c r="I785" i="2"/>
  <c r="N785" i="2" s="1"/>
  <c r="I786" i="2"/>
  <c r="I787" i="2"/>
  <c r="I788" i="2"/>
  <c r="N788" i="2" s="1"/>
  <c r="I789" i="2"/>
  <c r="N789" i="2" s="1"/>
  <c r="I790" i="2"/>
  <c r="I791" i="2"/>
  <c r="I782" i="2"/>
  <c r="I781" i="2"/>
  <c r="G783" i="2"/>
  <c r="M783" i="2" s="1"/>
  <c r="I774" i="2"/>
  <c r="N774" i="2" s="1"/>
  <c r="I775" i="2"/>
  <c r="I776" i="2"/>
  <c r="N776" i="2" s="1"/>
  <c r="I777" i="2"/>
  <c r="I778" i="2"/>
  <c r="I779" i="2"/>
  <c r="I780" i="2"/>
  <c r="G773" i="2"/>
  <c r="M773" i="2" s="1"/>
  <c r="I772" i="2"/>
  <c r="I757" i="2"/>
  <c r="N757" i="2" s="1"/>
  <c r="I758" i="2"/>
  <c r="I759" i="2"/>
  <c r="N759" i="2" s="1"/>
  <c r="I760" i="2"/>
  <c r="I761" i="2"/>
  <c r="I762" i="2"/>
  <c r="I763" i="2"/>
  <c r="I764" i="2"/>
  <c r="I765" i="2"/>
  <c r="N765" i="2" s="1"/>
  <c r="I766" i="2"/>
  <c r="N766" i="2" s="1"/>
  <c r="I767" i="2"/>
  <c r="N767" i="2" s="1"/>
  <c r="I768" i="2"/>
  <c r="I769" i="2"/>
  <c r="I770" i="2"/>
  <c r="I771" i="2"/>
  <c r="N771" i="2" s="1"/>
  <c r="G756" i="2"/>
  <c r="M756" i="2" s="1"/>
  <c r="G755" i="2"/>
  <c r="M755" i="2" s="1"/>
  <c r="G150" i="2"/>
  <c r="M150" i="2" s="1"/>
  <c r="J203" i="1"/>
  <c r="M203" i="1" s="1"/>
  <c r="J204" i="1"/>
  <c r="M204" i="1" s="1"/>
  <c r="J205" i="1"/>
  <c r="M205" i="1" s="1"/>
  <c r="L201" i="1"/>
  <c r="J201" i="1"/>
  <c r="I202" i="1"/>
  <c r="H202" i="1"/>
  <c r="J202" i="1" s="1"/>
  <c r="L200" i="1"/>
  <c r="L199" i="1"/>
  <c r="L198" i="1"/>
  <c r="L197" i="1"/>
  <c r="L196" i="1"/>
  <c r="J200" i="1"/>
  <c r="J199" i="1"/>
  <c r="J198" i="1"/>
  <c r="J197" i="1"/>
  <c r="J196" i="1"/>
  <c r="L195" i="1"/>
  <c r="L194" i="1"/>
  <c r="J195" i="1"/>
  <c r="J194" i="1"/>
  <c r="I783" i="2" l="1"/>
  <c r="N783" i="2" s="1"/>
  <c r="E95" i="9"/>
  <c r="E62" i="9"/>
  <c r="E60" i="9"/>
  <c r="F14" i="7"/>
  <c r="F12" i="7"/>
  <c r="I150" i="2"/>
  <c r="N150" i="2" s="1"/>
  <c r="I796" i="2"/>
  <c r="N796" i="2" s="1"/>
  <c r="E58" i="9"/>
  <c r="I826" i="2"/>
  <c r="N826" i="2" s="1"/>
  <c r="E61" i="9"/>
  <c r="N772" i="2"/>
  <c r="N816" i="2"/>
  <c r="C54" i="9"/>
  <c r="J4" i="7"/>
  <c r="K4" i="7" s="1"/>
  <c r="F19" i="7"/>
  <c r="N859" i="2"/>
  <c r="I755" i="2"/>
  <c r="M846" i="2"/>
  <c r="N846" i="2" s="1"/>
  <c r="I802" i="2"/>
  <c r="N802" i="2" s="1"/>
  <c r="I836" i="2"/>
  <c r="N836" i="2" s="1"/>
  <c r="M817" i="2"/>
  <c r="N817" i="2" s="1"/>
  <c r="I773" i="2"/>
  <c r="N773" i="2" s="1"/>
  <c r="I756" i="2"/>
  <c r="N756" i="2" s="1"/>
  <c r="I862" i="2"/>
  <c r="N862" i="2" s="1"/>
  <c r="M827" i="2"/>
  <c r="N827" i="2" s="1"/>
  <c r="L202" i="1"/>
  <c r="M202" i="1" s="1"/>
  <c r="M200" i="1"/>
  <c r="N790" i="2"/>
  <c r="N820" i="2"/>
  <c r="M201" i="1"/>
  <c r="M198" i="1"/>
  <c r="M194" i="1"/>
  <c r="M197" i="1"/>
  <c r="M195" i="1"/>
  <c r="M196" i="1"/>
  <c r="M199" i="1"/>
  <c r="N833" i="2"/>
  <c r="N842" i="2"/>
  <c r="N787" i="2"/>
  <c r="N847" i="2"/>
  <c r="N810" i="2"/>
  <c r="N791" i="2"/>
  <c r="N857" i="2"/>
  <c r="N808" i="2"/>
  <c r="N792" i="2"/>
  <c r="N775" i="2"/>
  <c r="N815" i="2"/>
  <c r="N777" i="2"/>
  <c r="N795" i="2"/>
  <c r="N851" i="2"/>
  <c r="N778" i="2"/>
  <c r="N799" i="2"/>
  <c r="N834" i="2"/>
  <c r="N782" i="2"/>
  <c r="N824" i="2"/>
  <c r="N858" i="2"/>
  <c r="N781" i="2"/>
  <c r="N804" i="2"/>
  <c r="N849" i="2"/>
  <c r="N760" i="2"/>
  <c r="N786" i="2"/>
  <c r="N814" i="2"/>
  <c r="N761" i="2"/>
  <c r="N844" i="2"/>
  <c r="N779" i="2"/>
  <c r="N845" i="2"/>
  <c r="N843" i="2"/>
  <c r="N801" i="2"/>
  <c r="N758" i="2"/>
  <c r="N780" i="2"/>
  <c r="N835" i="2"/>
  <c r="N838" i="2"/>
  <c r="M725" i="2"/>
  <c r="M666" i="2"/>
  <c r="M665" i="2"/>
  <c r="M664" i="2"/>
  <c r="M652" i="2"/>
  <c r="M623" i="2"/>
  <c r="M166" i="2"/>
  <c r="C52" i="9" l="1"/>
  <c r="D55" i="9"/>
  <c r="D52" i="9"/>
  <c r="C55" i="9"/>
  <c r="D53" i="9"/>
  <c r="D54" i="9"/>
  <c r="E54" i="9" s="1"/>
  <c r="C53" i="9"/>
  <c r="N755" i="2"/>
  <c r="D51" i="9" s="1"/>
  <c r="C51" i="9"/>
  <c r="M741" i="2"/>
  <c r="M742" i="2"/>
  <c r="M744" i="2"/>
  <c r="M748" i="2"/>
  <c r="M749" i="2"/>
  <c r="M752" i="2"/>
  <c r="M753" i="2"/>
  <c r="M734" i="2"/>
  <c r="M739" i="2"/>
  <c r="M738" i="2"/>
  <c r="M737" i="2"/>
  <c r="M736" i="2"/>
  <c r="K747" i="2"/>
  <c r="M747" i="2" s="1"/>
  <c r="K745" i="2"/>
  <c r="M745" i="2" s="1"/>
  <c r="K743" i="2"/>
  <c r="M743" i="2" s="1"/>
  <c r="K740" i="2"/>
  <c r="M740" i="2" s="1"/>
  <c r="K735" i="2"/>
  <c r="M735" i="2" s="1"/>
  <c r="M733" i="2"/>
  <c r="M732" i="2"/>
  <c r="M731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N746" i="2" s="1"/>
  <c r="I747" i="2"/>
  <c r="I748" i="2"/>
  <c r="I749" i="2"/>
  <c r="I750" i="2"/>
  <c r="N750" i="2" s="1"/>
  <c r="I751" i="2"/>
  <c r="N751" i="2" s="1"/>
  <c r="I752" i="2"/>
  <c r="I753" i="2"/>
  <c r="I754" i="2"/>
  <c r="N754" i="2" s="1"/>
  <c r="I731" i="2"/>
  <c r="I732" i="2"/>
  <c r="I733" i="2"/>
  <c r="I734" i="2"/>
  <c r="M727" i="2"/>
  <c r="M720" i="2"/>
  <c r="M690" i="2"/>
  <c r="M686" i="2"/>
  <c r="M678" i="2"/>
  <c r="M677" i="2"/>
  <c r="M672" i="2"/>
  <c r="M667" i="2"/>
  <c r="M640" i="2"/>
  <c r="M611" i="2"/>
  <c r="L193" i="1"/>
  <c r="L192" i="1"/>
  <c r="L191" i="1"/>
  <c r="L176" i="1"/>
  <c r="L175" i="1"/>
  <c r="L174" i="1"/>
  <c r="L173" i="1"/>
  <c r="L164" i="1"/>
  <c r="L163" i="1"/>
  <c r="L162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J193" i="1"/>
  <c r="J192" i="1"/>
  <c r="J191" i="1"/>
  <c r="J162" i="1"/>
  <c r="J163" i="1"/>
  <c r="J164" i="1"/>
  <c r="J173" i="1"/>
  <c r="J174" i="1"/>
  <c r="J175" i="1"/>
  <c r="J176" i="1"/>
  <c r="J189" i="1"/>
  <c r="J190" i="1"/>
  <c r="I187" i="1"/>
  <c r="J187" i="1" s="1"/>
  <c r="I188" i="1"/>
  <c r="J188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E52" i="9" l="1"/>
  <c r="E51" i="9"/>
  <c r="E55" i="9"/>
  <c r="E53" i="9"/>
  <c r="D11" i="7"/>
  <c r="C50" i="9"/>
  <c r="M159" i="1"/>
  <c r="M178" i="1"/>
  <c r="M183" i="1"/>
  <c r="M163" i="1"/>
  <c r="M160" i="1"/>
  <c r="M179" i="1"/>
  <c r="M190" i="1"/>
  <c r="N742" i="2"/>
  <c r="N748" i="2"/>
  <c r="N752" i="2"/>
  <c r="N743" i="2"/>
  <c r="N734" i="2"/>
  <c r="N744" i="2"/>
  <c r="N732" i="2"/>
  <c r="N753" i="2"/>
  <c r="N745" i="2"/>
  <c r="N747" i="2"/>
  <c r="N749" i="2"/>
  <c r="N741" i="2"/>
  <c r="N737" i="2"/>
  <c r="N733" i="2"/>
  <c r="N738" i="2"/>
  <c r="N739" i="2"/>
  <c r="N731" i="2"/>
  <c r="N736" i="2"/>
  <c r="N735" i="2"/>
  <c r="N740" i="2"/>
  <c r="M156" i="1"/>
  <c r="M155" i="1"/>
  <c r="M173" i="1"/>
  <c r="M191" i="1"/>
  <c r="M161" i="1"/>
  <c r="M180" i="1"/>
  <c r="M187" i="1"/>
  <c r="M162" i="1"/>
  <c r="M174" i="1"/>
  <c r="M175" i="1"/>
  <c r="M145" i="1"/>
  <c r="M149" i="1"/>
  <c r="M153" i="1"/>
  <c r="M164" i="1"/>
  <c r="M186" i="1"/>
  <c r="M146" i="1"/>
  <c r="M150" i="1"/>
  <c r="M154" i="1"/>
  <c r="M177" i="1"/>
  <c r="M192" i="1"/>
  <c r="M147" i="1"/>
  <c r="M151" i="1"/>
  <c r="M157" i="1"/>
  <c r="M181" i="1"/>
  <c r="M184" i="1"/>
  <c r="M188" i="1"/>
  <c r="M176" i="1"/>
  <c r="M193" i="1"/>
  <c r="M148" i="1"/>
  <c r="M152" i="1"/>
  <c r="M158" i="1"/>
  <c r="M182" i="1"/>
  <c r="M185" i="1"/>
  <c r="M189" i="1"/>
  <c r="M722" i="2"/>
  <c r="M695" i="2"/>
  <c r="M662" i="2"/>
  <c r="M616" i="2"/>
  <c r="M603" i="2"/>
  <c r="M703" i="2"/>
  <c r="M669" i="2"/>
  <c r="M626" i="2"/>
  <c r="M726" i="2"/>
  <c r="M708" i="2"/>
  <c r="M704" i="2"/>
  <c r="M653" i="2"/>
  <c r="M619" i="2"/>
  <c r="M707" i="2"/>
  <c r="M647" i="2"/>
  <c r="M638" i="2"/>
  <c r="M606" i="2"/>
  <c r="M604" i="2"/>
  <c r="M650" i="2"/>
  <c r="M641" i="2"/>
  <c r="M633" i="2"/>
  <c r="M716" i="2"/>
  <c r="M712" i="2"/>
  <c r="M632" i="2"/>
  <c r="M624" i="2"/>
  <c r="M602" i="2"/>
  <c r="M648" i="2"/>
  <c r="M660" i="2"/>
  <c r="M627" i="2"/>
  <c r="M701" i="2"/>
  <c r="M675" i="2"/>
  <c r="M646" i="2"/>
  <c r="M645" i="2"/>
  <c r="M629" i="2"/>
  <c r="M610" i="2"/>
  <c r="M730" i="2"/>
  <c r="M729" i="2"/>
  <c r="M718" i="2"/>
  <c r="M714" i="2"/>
  <c r="M700" i="2"/>
  <c r="M693" i="2"/>
  <c r="M683" i="2"/>
  <c r="M674" i="2"/>
  <c r="M656" i="2"/>
  <c r="M649" i="2"/>
  <c r="M642" i="2"/>
  <c r="M621" i="2"/>
  <c r="M617" i="2"/>
  <c r="M607" i="2"/>
  <c r="M605" i="2"/>
  <c r="M634" i="2"/>
  <c r="K719" i="2"/>
  <c r="M719" i="2" s="1"/>
  <c r="K706" i="2"/>
  <c r="M706" i="2" s="1"/>
  <c r="K705" i="2"/>
  <c r="M705" i="2" s="1"/>
  <c r="K698" i="2"/>
  <c r="M698" i="2" s="1"/>
  <c r="K691" i="2"/>
  <c r="M691" i="2" s="1"/>
  <c r="K684" i="2"/>
  <c r="M684" i="2" s="1"/>
  <c r="K679" i="2"/>
  <c r="M679" i="2" s="1"/>
  <c r="K676" i="2"/>
  <c r="M676" i="2" s="1"/>
  <c r="K673" i="2"/>
  <c r="M673" i="2" s="1"/>
  <c r="K657" i="2"/>
  <c r="M657" i="2" s="1"/>
  <c r="K655" i="2"/>
  <c r="M655" i="2" s="1"/>
  <c r="K644" i="2"/>
  <c r="M644" i="2" s="1"/>
  <c r="K620" i="2"/>
  <c r="M620" i="2" s="1"/>
  <c r="K614" i="2"/>
  <c r="M614" i="2" s="1"/>
  <c r="K613" i="2"/>
  <c r="M613" i="2" s="1"/>
  <c r="K587" i="2"/>
  <c r="M724" i="2"/>
  <c r="M715" i="2"/>
  <c r="M692" i="2"/>
  <c r="M682" i="2"/>
  <c r="M680" i="2"/>
  <c r="M643" i="2"/>
  <c r="M628" i="2"/>
  <c r="M622" i="2"/>
  <c r="M618" i="2"/>
  <c r="M609" i="2"/>
  <c r="M717" i="2"/>
  <c r="M702" i="2"/>
  <c r="M696" i="2"/>
  <c r="M687" i="2"/>
  <c r="M639" i="2"/>
  <c r="M631" i="2"/>
  <c r="M600" i="2"/>
  <c r="M599" i="2"/>
  <c r="M699" i="2"/>
  <c r="M710" i="2"/>
  <c r="M663" i="2"/>
  <c r="M625" i="2"/>
  <c r="M713" i="2"/>
  <c r="M697" i="2"/>
  <c r="M635" i="2"/>
  <c r="M608" i="2"/>
  <c r="M560" i="2"/>
  <c r="M728" i="2"/>
  <c r="M723" i="2"/>
  <c r="M711" i="2"/>
  <c r="M694" i="2"/>
  <c r="M661" i="2"/>
  <c r="M654" i="2"/>
  <c r="M601" i="2"/>
  <c r="M598" i="2"/>
  <c r="I730" i="2"/>
  <c r="I729" i="2"/>
  <c r="I728" i="2"/>
  <c r="I727" i="2"/>
  <c r="N727" i="2" s="1"/>
  <c r="I726" i="2"/>
  <c r="I725" i="2"/>
  <c r="N725" i="2" s="1"/>
  <c r="I724" i="2"/>
  <c r="I723" i="2"/>
  <c r="I722" i="2"/>
  <c r="I721" i="2"/>
  <c r="N721" i="2" s="1"/>
  <c r="I720" i="2"/>
  <c r="N720" i="2" s="1"/>
  <c r="I719" i="2"/>
  <c r="I718" i="2"/>
  <c r="I717" i="2"/>
  <c r="I705" i="2"/>
  <c r="I706" i="2"/>
  <c r="I707" i="2"/>
  <c r="I708" i="2"/>
  <c r="I710" i="2"/>
  <c r="I711" i="2"/>
  <c r="I712" i="2"/>
  <c r="I713" i="2"/>
  <c r="I714" i="2"/>
  <c r="I715" i="2"/>
  <c r="I716" i="2"/>
  <c r="G709" i="2"/>
  <c r="I709" i="2" s="1"/>
  <c r="I704" i="2"/>
  <c r="I703" i="2"/>
  <c r="I702" i="2"/>
  <c r="I701" i="2"/>
  <c r="I700" i="2"/>
  <c r="I699" i="2"/>
  <c r="I698" i="2"/>
  <c r="I697" i="2"/>
  <c r="I696" i="2"/>
  <c r="I695" i="2"/>
  <c r="I694" i="2"/>
  <c r="I682" i="2"/>
  <c r="I683" i="2"/>
  <c r="I684" i="2"/>
  <c r="I686" i="2"/>
  <c r="N686" i="2" s="1"/>
  <c r="I687" i="2"/>
  <c r="I690" i="2"/>
  <c r="N690" i="2" s="1"/>
  <c r="I691" i="2"/>
  <c r="I692" i="2"/>
  <c r="I693" i="2"/>
  <c r="I680" i="2"/>
  <c r="G689" i="2"/>
  <c r="M689" i="2" s="1"/>
  <c r="G688" i="2"/>
  <c r="M688" i="2" s="1"/>
  <c r="G685" i="2"/>
  <c r="M685" i="2" s="1"/>
  <c r="G681" i="2"/>
  <c r="M681" i="2" s="1"/>
  <c r="I679" i="2"/>
  <c r="I652" i="2"/>
  <c r="N652" i="2" s="1"/>
  <c r="I653" i="2"/>
  <c r="I654" i="2"/>
  <c r="I655" i="2"/>
  <c r="I656" i="2"/>
  <c r="I657" i="2"/>
  <c r="I660" i="2"/>
  <c r="I661" i="2"/>
  <c r="I662" i="2"/>
  <c r="I663" i="2"/>
  <c r="I664" i="2"/>
  <c r="N664" i="2" s="1"/>
  <c r="I665" i="2"/>
  <c r="N665" i="2" s="1"/>
  <c r="I666" i="2"/>
  <c r="I667" i="2"/>
  <c r="N667" i="2" s="1"/>
  <c r="I669" i="2"/>
  <c r="I672" i="2"/>
  <c r="N672" i="2" s="1"/>
  <c r="I673" i="2"/>
  <c r="I674" i="2"/>
  <c r="I675" i="2"/>
  <c r="I676" i="2"/>
  <c r="I677" i="2"/>
  <c r="N677" i="2" s="1"/>
  <c r="I678" i="2"/>
  <c r="N678" i="2" s="1"/>
  <c r="I650" i="2"/>
  <c r="G671" i="2"/>
  <c r="M671" i="2" s="1"/>
  <c r="G670" i="2"/>
  <c r="M670" i="2" s="1"/>
  <c r="G668" i="2"/>
  <c r="M668" i="2" s="1"/>
  <c r="G659" i="2"/>
  <c r="M659" i="2" s="1"/>
  <c r="G658" i="2"/>
  <c r="M658" i="2" s="1"/>
  <c r="G651" i="2"/>
  <c r="M651" i="2" s="1"/>
  <c r="I638" i="2"/>
  <c r="G637" i="2"/>
  <c r="M637" i="2" s="1"/>
  <c r="I631" i="2"/>
  <c r="I632" i="2"/>
  <c r="I633" i="2"/>
  <c r="I634" i="2"/>
  <c r="I635" i="2"/>
  <c r="I639" i="2"/>
  <c r="I640" i="2"/>
  <c r="N640" i="2" s="1"/>
  <c r="I641" i="2"/>
  <c r="I642" i="2"/>
  <c r="I643" i="2"/>
  <c r="I644" i="2"/>
  <c r="I645" i="2"/>
  <c r="I646" i="2"/>
  <c r="I647" i="2"/>
  <c r="I648" i="2"/>
  <c r="I649" i="2"/>
  <c r="I629" i="2"/>
  <c r="I628" i="2"/>
  <c r="I627" i="2"/>
  <c r="I626" i="2"/>
  <c r="I625" i="2"/>
  <c r="I624" i="2"/>
  <c r="G636" i="2"/>
  <c r="M636" i="2" s="1"/>
  <c r="G630" i="2"/>
  <c r="I630" i="2" s="1"/>
  <c r="I613" i="2"/>
  <c r="I614" i="2"/>
  <c r="I616" i="2"/>
  <c r="I617" i="2"/>
  <c r="I618" i="2"/>
  <c r="I619" i="2"/>
  <c r="I620" i="2"/>
  <c r="I621" i="2"/>
  <c r="I622" i="2"/>
  <c r="I623" i="2"/>
  <c r="N623" i="2" s="1"/>
  <c r="I611" i="2"/>
  <c r="N611" i="2" s="1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G615" i="2"/>
  <c r="M615" i="2" s="1"/>
  <c r="G612" i="2"/>
  <c r="M612" i="2" s="1"/>
  <c r="M709" i="2" l="1"/>
  <c r="I658" i="2"/>
  <c r="I637" i="2"/>
  <c r="I615" i="2"/>
  <c r="I651" i="2"/>
  <c r="N651" i="2" s="1"/>
  <c r="C47" i="9"/>
  <c r="I671" i="2"/>
  <c r="I612" i="2"/>
  <c r="C43" i="9" s="1"/>
  <c r="I636" i="2"/>
  <c r="I670" i="2"/>
  <c r="N670" i="2" s="1"/>
  <c r="C48" i="9"/>
  <c r="E11" i="7"/>
  <c r="F11" i="7" s="1"/>
  <c r="D50" i="9"/>
  <c r="E50" i="9" s="1"/>
  <c r="N642" i="2"/>
  <c r="I668" i="2"/>
  <c r="N668" i="2" s="1"/>
  <c r="I689" i="2"/>
  <c r="N689" i="2" s="1"/>
  <c r="I685" i="2"/>
  <c r="N685" i="2" s="1"/>
  <c r="I681" i="2"/>
  <c r="N681" i="2" s="1"/>
  <c r="M630" i="2"/>
  <c r="N630" i="2" s="1"/>
  <c r="I659" i="2"/>
  <c r="N659" i="2" s="1"/>
  <c r="I688" i="2"/>
  <c r="N688" i="2" s="1"/>
  <c r="N603" i="2"/>
  <c r="N658" i="2"/>
  <c r="N695" i="2"/>
  <c r="N616" i="2"/>
  <c r="N662" i="2"/>
  <c r="N722" i="2"/>
  <c r="N703" i="2"/>
  <c r="N669" i="2"/>
  <c r="N633" i="2"/>
  <c r="N638" i="2"/>
  <c r="N653" i="2"/>
  <c r="N626" i="2"/>
  <c r="N704" i="2"/>
  <c r="N708" i="2"/>
  <c r="N619" i="2"/>
  <c r="N726" i="2"/>
  <c r="N671" i="2"/>
  <c r="N604" i="2"/>
  <c r="N647" i="2"/>
  <c r="N648" i="2"/>
  <c r="N606" i="2"/>
  <c r="N707" i="2"/>
  <c r="N650" i="2"/>
  <c r="N641" i="2"/>
  <c r="N602" i="2"/>
  <c r="N624" i="2"/>
  <c r="N712" i="2"/>
  <c r="N632" i="2"/>
  <c r="N716" i="2"/>
  <c r="N627" i="2"/>
  <c r="N646" i="2"/>
  <c r="N660" i="2"/>
  <c r="N675" i="2"/>
  <c r="N645" i="2"/>
  <c r="N617" i="2"/>
  <c r="N656" i="2"/>
  <c r="N674" i="2"/>
  <c r="N714" i="2"/>
  <c r="N610" i="2"/>
  <c r="N629" i="2"/>
  <c r="N701" i="2"/>
  <c r="N605" i="2"/>
  <c r="N649" i="2"/>
  <c r="N683" i="2"/>
  <c r="N718" i="2"/>
  <c r="N621" i="2"/>
  <c r="N693" i="2"/>
  <c r="N729" i="2"/>
  <c r="N607" i="2"/>
  <c r="N700" i="2"/>
  <c r="N730" i="2"/>
  <c r="N644" i="2"/>
  <c r="N698" i="2"/>
  <c r="N634" i="2"/>
  <c r="N622" i="2"/>
  <c r="N682" i="2"/>
  <c r="N613" i="2"/>
  <c r="N655" i="2"/>
  <c r="N679" i="2"/>
  <c r="N705" i="2"/>
  <c r="N676" i="2"/>
  <c r="N628" i="2"/>
  <c r="N614" i="2"/>
  <c r="N657" i="2"/>
  <c r="N684" i="2"/>
  <c r="N706" i="2"/>
  <c r="N620" i="2"/>
  <c r="N673" i="2"/>
  <c r="N691" i="2"/>
  <c r="N719" i="2"/>
  <c r="N609" i="2"/>
  <c r="N643" i="2"/>
  <c r="N715" i="2"/>
  <c r="N692" i="2"/>
  <c r="N618" i="2"/>
  <c r="N680" i="2"/>
  <c r="N724" i="2"/>
  <c r="N639" i="2"/>
  <c r="N717" i="2"/>
  <c r="N599" i="2"/>
  <c r="N687" i="2"/>
  <c r="N600" i="2"/>
  <c r="N696" i="2"/>
  <c r="N631" i="2"/>
  <c r="N702" i="2"/>
  <c r="N699" i="2"/>
  <c r="N625" i="2"/>
  <c r="N663" i="2"/>
  <c r="N710" i="2"/>
  <c r="N608" i="2"/>
  <c r="N601" i="2"/>
  <c r="N661" i="2"/>
  <c r="N723" i="2"/>
  <c r="N635" i="2"/>
  <c r="N615" i="2"/>
  <c r="N697" i="2"/>
  <c r="N713" i="2"/>
  <c r="N728" i="2"/>
  <c r="N637" i="2"/>
  <c r="N709" i="2"/>
  <c r="N694" i="2"/>
  <c r="N598" i="2"/>
  <c r="N654" i="2"/>
  <c r="N711" i="2"/>
  <c r="M226" i="2"/>
  <c r="K586" i="2"/>
  <c r="M568" i="2"/>
  <c r="K100" i="2"/>
  <c r="K57" i="2"/>
  <c r="K28" i="2"/>
  <c r="K517" i="2"/>
  <c r="M517" i="2" s="1"/>
  <c r="K521" i="2"/>
  <c r="M521" i="2" s="1"/>
  <c r="K520" i="2"/>
  <c r="M520" i="2" s="1"/>
  <c r="K525" i="2"/>
  <c r="M525" i="2" s="1"/>
  <c r="K533" i="2"/>
  <c r="M533" i="2" s="1"/>
  <c r="K552" i="2"/>
  <c r="M552" i="2" s="1"/>
  <c r="K556" i="2"/>
  <c r="M556" i="2" s="1"/>
  <c r="M514" i="2"/>
  <c r="M515" i="2"/>
  <c r="M516" i="2"/>
  <c r="M518" i="2"/>
  <c r="M519" i="2"/>
  <c r="M522" i="2"/>
  <c r="M523" i="2"/>
  <c r="M524" i="2"/>
  <c r="M526" i="2"/>
  <c r="M527" i="2"/>
  <c r="M528" i="2"/>
  <c r="M529" i="2"/>
  <c r="M530" i="2"/>
  <c r="M532" i="2"/>
  <c r="M534" i="2"/>
  <c r="M535" i="2"/>
  <c r="M537" i="2"/>
  <c r="M538" i="2"/>
  <c r="M541" i="2"/>
  <c r="M542" i="2"/>
  <c r="M543" i="2"/>
  <c r="M544" i="2"/>
  <c r="M545" i="2"/>
  <c r="M546" i="2"/>
  <c r="M547" i="2"/>
  <c r="M548" i="2"/>
  <c r="M549" i="2"/>
  <c r="M550" i="2"/>
  <c r="M551" i="2"/>
  <c r="M553" i="2"/>
  <c r="M554" i="2"/>
  <c r="M555" i="2"/>
  <c r="M557" i="2"/>
  <c r="M558" i="2"/>
  <c r="M559" i="2"/>
  <c r="M561" i="2"/>
  <c r="M562" i="2"/>
  <c r="M563" i="2"/>
  <c r="M564" i="2"/>
  <c r="M565" i="2"/>
  <c r="M566" i="2"/>
  <c r="M567" i="2"/>
  <c r="M569" i="2"/>
  <c r="M570" i="2"/>
  <c r="M572" i="2"/>
  <c r="M574" i="2"/>
  <c r="M575" i="2"/>
  <c r="M576" i="2"/>
  <c r="M577" i="2"/>
  <c r="M578" i="2"/>
  <c r="M579" i="2"/>
  <c r="M580" i="2"/>
  <c r="M581" i="2"/>
  <c r="M582" i="2"/>
  <c r="M583" i="2"/>
  <c r="M584" i="2"/>
  <c r="M587" i="2"/>
  <c r="M588" i="2"/>
  <c r="M589" i="2"/>
  <c r="M590" i="2"/>
  <c r="M591" i="2"/>
  <c r="M592" i="2"/>
  <c r="M594" i="2"/>
  <c r="M595" i="2"/>
  <c r="M596" i="2"/>
  <c r="M597" i="2"/>
  <c r="I572" i="2"/>
  <c r="I574" i="2"/>
  <c r="I575" i="2"/>
  <c r="I576" i="2"/>
  <c r="I577" i="2"/>
  <c r="I578" i="2"/>
  <c r="I579" i="2"/>
  <c r="I580" i="2"/>
  <c r="I581" i="2"/>
  <c r="I582" i="2"/>
  <c r="I583" i="2"/>
  <c r="I584" i="2"/>
  <c r="I587" i="2"/>
  <c r="I588" i="2"/>
  <c r="I589" i="2"/>
  <c r="I590" i="2"/>
  <c r="I591" i="2"/>
  <c r="I592" i="2"/>
  <c r="I594" i="2"/>
  <c r="I595" i="2"/>
  <c r="I596" i="2"/>
  <c r="I597" i="2"/>
  <c r="G593" i="2"/>
  <c r="M593" i="2" s="1"/>
  <c r="G586" i="2"/>
  <c r="I586" i="2" s="1"/>
  <c r="G585" i="2"/>
  <c r="I585" i="2" s="1"/>
  <c r="G573" i="2"/>
  <c r="M573" i="2" s="1"/>
  <c r="I565" i="2"/>
  <c r="I566" i="2"/>
  <c r="I567" i="2"/>
  <c r="I568" i="2"/>
  <c r="I569" i="2"/>
  <c r="I570" i="2"/>
  <c r="I564" i="2"/>
  <c r="I563" i="2"/>
  <c r="I562" i="2"/>
  <c r="I561" i="2"/>
  <c r="I560" i="2"/>
  <c r="N560" i="2" s="1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G571" i="2"/>
  <c r="I571" i="2" s="1"/>
  <c r="H544" i="2"/>
  <c r="I544" i="2" s="1"/>
  <c r="I537" i="2"/>
  <c r="I538" i="2"/>
  <c r="I541" i="2"/>
  <c r="I542" i="2"/>
  <c r="I543" i="2"/>
  <c r="I545" i="2"/>
  <c r="I546" i="2"/>
  <c r="G540" i="2"/>
  <c r="M540" i="2" s="1"/>
  <c r="G539" i="2"/>
  <c r="I539" i="2" s="1"/>
  <c r="G536" i="2"/>
  <c r="M536" i="2" s="1"/>
  <c r="G531" i="2"/>
  <c r="I531" i="2" s="1"/>
  <c r="I532" i="2"/>
  <c r="I533" i="2"/>
  <c r="I534" i="2"/>
  <c r="I535" i="2"/>
  <c r="I530" i="2"/>
  <c r="I529" i="2"/>
  <c r="I528" i="2"/>
  <c r="I527" i="2"/>
  <c r="I526" i="2"/>
  <c r="I520" i="2"/>
  <c r="I521" i="2"/>
  <c r="I522" i="2"/>
  <c r="I523" i="2"/>
  <c r="I524" i="2"/>
  <c r="I525" i="2"/>
  <c r="I514" i="2"/>
  <c r="I515" i="2"/>
  <c r="I516" i="2"/>
  <c r="I517" i="2"/>
  <c r="I518" i="2"/>
  <c r="I519" i="2"/>
  <c r="M485" i="2"/>
  <c r="M486" i="2"/>
  <c r="M489" i="2"/>
  <c r="M490" i="2"/>
  <c r="M492" i="2"/>
  <c r="M493" i="2"/>
  <c r="M494" i="2"/>
  <c r="M495" i="2"/>
  <c r="M496" i="2"/>
  <c r="M497" i="2"/>
  <c r="M498" i="2"/>
  <c r="M499" i="2"/>
  <c r="M500" i="2"/>
  <c r="M502" i="2"/>
  <c r="M503" i="2"/>
  <c r="M504" i="2"/>
  <c r="M505" i="2"/>
  <c r="M507" i="2"/>
  <c r="M509" i="2"/>
  <c r="M511" i="2"/>
  <c r="M512" i="2"/>
  <c r="K513" i="2"/>
  <c r="M513" i="2" s="1"/>
  <c r="K510" i="2"/>
  <c r="M510" i="2" s="1"/>
  <c r="K508" i="2"/>
  <c r="M508" i="2" s="1"/>
  <c r="K491" i="2"/>
  <c r="M491" i="2" s="1"/>
  <c r="K501" i="2"/>
  <c r="M501" i="2" s="1"/>
  <c r="I507" i="2"/>
  <c r="I508" i="2"/>
  <c r="I509" i="2"/>
  <c r="I510" i="2"/>
  <c r="I511" i="2"/>
  <c r="I512" i="2"/>
  <c r="I513" i="2"/>
  <c r="I505" i="2"/>
  <c r="I504" i="2"/>
  <c r="I503" i="2"/>
  <c r="I502" i="2"/>
  <c r="I501" i="2"/>
  <c r="I500" i="2"/>
  <c r="G506" i="2"/>
  <c r="M506" i="2" s="1"/>
  <c r="I499" i="2"/>
  <c r="I498" i="2"/>
  <c r="I497" i="2"/>
  <c r="I496" i="2"/>
  <c r="I495" i="2"/>
  <c r="I494" i="2"/>
  <c r="G484" i="2"/>
  <c r="I484" i="2" s="1"/>
  <c r="G488" i="2"/>
  <c r="I488" i="2" s="1"/>
  <c r="I485" i="2"/>
  <c r="I486" i="2"/>
  <c r="I489" i="2"/>
  <c r="I490" i="2"/>
  <c r="I491" i="2"/>
  <c r="I492" i="2"/>
  <c r="I493" i="2"/>
  <c r="G487" i="2"/>
  <c r="I487" i="2" s="1"/>
  <c r="G483" i="2"/>
  <c r="I483" i="2" s="1"/>
  <c r="M476" i="2"/>
  <c r="M477" i="2"/>
  <c r="M478" i="2"/>
  <c r="M479" i="2"/>
  <c r="M480" i="2"/>
  <c r="M481" i="2"/>
  <c r="M482" i="2"/>
  <c r="M475" i="2"/>
  <c r="I482" i="2"/>
  <c r="I481" i="2"/>
  <c r="I480" i="2"/>
  <c r="I479" i="2"/>
  <c r="I478" i="2"/>
  <c r="I477" i="2"/>
  <c r="I476" i="2"/>
  <c r="I475" i="2"/>
  <c r="M585" i="2" l="1"/>
  <c r="C44" i="9"/>
  <c r="D47" i="9"/>
  <c r="E47" i="9" s="1"/>
  <c r="C38" i="9"/>
  <c r="N636" i="2"/>
  <c r="C45" i="9"/>
  <c r="C40" i="9"/>
  <c r="D48" i="9"/>
  <c r="E48" i="9" s="1"/>
  <c r="D46" i="9"/>
  <c r="N612" i="2"/>
  <c r="D45" i="9"/>
  <c r="C46" i="9"/>
  <c r="D44" i="9"/>
  <c r="D10" i="7"/>
  <c r="C36" i="9"/>
  <c r="M483" i="2"/>
  <c r="N483" i="2" s="1"/>
  <c r="I540" i="2"/>
  <c r="N540" i="2" s="1"/>
  <c r="M571" i="2"/>
  <c r="M488" i="2"/>
  <c r="N488" i="2" s="1"/>
  <c r="M539" i="2"/>
  <c r="N539" i="2" s="1"/>
  <c r="I506" i="2"/>
  <c r="N506" i="2" s="1"/>
  <c r="M586" i="2"/>
  <c r="N586" i="2" s="1"/>
  <c r="M531" i="2"/>
  <c r="N531" i="2" s="1"/>
  <c r="N479" i="2"/>
  <c r="N548" i="2"/>
  <c r="N475" i="2"/>
  <c r="N563" i="2"/>
  <c r="N505" i="2"/>
  <c r="N547" i="2"/>
  <c r="N502" i="2"/>
  <c r="M484" i="2"/>
  <c r="N484" i="2" s="1"/>
  <c r="M487" i="2"/>
  <c r="N487" i="2" s="1"/>
  <c r="I536" i="2"/>
  <c r="I593" i="2"/>
  <c r="N593" i="2" s="1"/>
  <c r="I573" i="2"/>
  <c r="N573" i="2" s="1"/>
  <c r="N492" i="2"/>
  <c r="N515" i="2"/>
  <c r="N523" i="2"/>
  <c r="N519" i="2"/>
  <c r="N478" i="2"/>
  <c r="N543" i="2"/>
  <c r="N571" i="2"/>
  <c r="N517" i="2"/>
  <c r="N525" i="2"/>
  <c r="N535" i="2"/>
  <c r="N595" i="2"/>
  <c r="N591" i="2"/>
  <c r="N587" i="2"/>
  <c r="N583" i="2"/>
  <c r="N579" i="2"/>
  <c r="N575" i="2"/>
  <c r="N527" i="2"/>
  <c r="N555" i="2"/>
  <c r="N559" i="2"/>
  <c r="N541" i="2"/>
  <c r="N597" i="2"/>
  <c r="N589" i="2"/>
  <c r="N581" i="2"/>
  <c r="N577" i="2"/>
  <c r="N549" i="2"/>
  <c r="N553" i="2"/>
  <c r="N557" i="2"/>
  <c r="N561" i="2"/>
  <c r="N568" i="2"/>
  <c r="N552" i="2"/>
  <c r="N582" i="2"/>
  <c r="N565" i="2"/>
  <c r="N482" i="2"/>
  <c r="N567" i="2"/>
  <c r="N558" i="2"/>
  <c r="N521" i="2"/>
  <c r="N537" i="2"/>
  <c r="N551" i="2"/>
  <c r="N590" i="2"/>
  <c r="N574" i="2"/>
  <c r="N550" i="2"/>
  <c r="N493" i="2"/>
  <c r="N489" i="2"/>
  <c r="N485" i="2"/>
  <c r="N529" i="2"/>
  <c r="N533" i="2"/>
  <c r="N585" i="2"/>
  <c r="N566" i="2"/>
  <c r="N542" i="2"/>
  <c r="N528" i="2"/>
  <c r="N569" i="2"/>
  <c r="N545" i="2"/>
  <c r="N534" i="2"/>
  <c r="N518" i="2"/>
  <c r="N592" i="2"/>
  <c r="N576" i="2"/>
  <c r="N544" i="2"/>
  <c r="N584" i="2"/>
  <c r="N520" i="2"/>
  <c r="N476" i="2"/>
  <c r="N594" i="2"/>
  <c r="N578" i="2"/>
  <c r="N570" i="2"/>
  <c r="N562" i="2"/>
  <c r="N554" i="2"/>
  <c r="N546" i="2"/>
  <c r="N538" i="2"/>
  <c r="N530" i="2"/>
  <c r="N522" i="2"/>
  <c r="N514" i="2"/>
  <c r="N526" i="2"/>
  <c r="N477" i="2"/>
  <c r="N494" i="2"/>
  <c r="N498" i="2"/>
  <c r="N501" i="2"/>
  <c r="N510" i="2"/>
  <c r="N596" i="2"/>
  <c r="N588" i="2"/>
  <c r="N580" i="2"/>
  <c r="N572" i="2"/>
  <c r="N564" i="2"/>
  <c r="N556" i="2"/>
  <c r="N532" i="2"/>
  <c r="N524" i="2"/>
  <c r="N516" i="2"/>
  <c r="N495" i="2"/>
  <c r="N499" i="2"/>
  <c r="N491" i="2"/>
  <c r="N496" i="2"/>
  <c r="N503" i="2"/>
  <c r="N512" i="2"/>
  <c r="N508" i="2"/>
  <c r="N480" i="2"/>
  <c r="N513" i="2"/>
  <c r="N509" i="2"/>
  <c r="N481" i="2"/>
  <c r="N490" i="2"/>
  <c r="N486" i="2"/>
  <c r="N497" i="2"/>
  <c r="N500" i="2"/>
  <c r="N504" i="2"/>
  <c r="N511" i="2"/>
  <c r="N507" i="2"/>
  <c r="M178" i="2"/>
  <c r="L144" i="1"/>
  <c r="L143" i="1"/>
  <c r="L142" i="1"/>
  <c r="J144" i="1"/>
  <c r="J143" i="1"/>
  <c r="J142" i="1"/>
  <c r="L141" i="1"/>
  <c r="L140" i="1"/>
  <c r="J141" i="1"/>
  <c r="J140" i="1"/>
  <c r="L139" i="1"/>
  <c r="L138" i="1"/>
  <c r="L137" i="1"/>
  <c r="L136" i="1"/>
  <c r="L135" i="1"/>
  <c r="L134" i="1"/>
  <c r="L133" i="1"/>
  <c r="J136" i="1"/>
  <c r="J137" i="1"/>
  <c r="J138" i="1"/>
  <c r="J139" i="1"/>
  <c r="J135" i="1"/>
  <c r="J134" i="1"/>
  <c r="J133" i="1"/>
  <c r="E44" i="9" l="1"/>
  <c r="E10" i="7"/>
  <c r="F10" i="7" s="1"/>
  <c r="D38" i="9"/>
  <c r="E38" i="9" s="1"/>
  <c r="D43" i="9"/>
  <c r="E43" i="9" s="1"/>
  <c r="E45" i="9"/>
  <c r="D37" i="9"/>
  <c r="D9" i="7"/>
  <c r="C41" i="9"/>
  <c r="D41" i="9"/>
  <c r="C37" i="9"/>
  <c r="D40" i="9"/>
  <c r="E40" i="9" s="1"/>
  <c r="E46" i="9"/>
  <c r="N536" i="2"/>
  <c r="D39" i="9" s="1"/>
  <c r="C39" i="9"/>
  <c r="D36" i="9"/>
  <c r="E36" i="9" s="1"/>
  <c r="M134" i="1"/>
  <c r="M136" i="1"/>
  <c r="M142" i="1"/>
  <c r="M137" i="1"/>
  <c r="M138" i="1"/>
  <c r="M141" i="1"/>
  <c r="M139" i="1"/>
  <c r="M133" i="1"/>
  <c r="M143" i="1"/>
  <c r="M140" i="1"/>
  <c r="M144" i="1"/>
  <c r="M135" i="1"/>
  <c r="M167" i="2"/>
  <c r="E9" i="7" l="1"/>
  <c r="F9" i="7" s="1"/>
  <c r="E41" i="9"/>
  <c r="E39" i="9"/>
  <c r="E37" i="9"/>
  <c r="M414" i="2"/>
  <c r="M55" i="2"/>
  <c r="M45" i="2"/>
  <c r="M422" i="2"/>
  <c r="M420" i="2"/>
  <c r="M413" i="2"/>
  <c r="M393" i="2"/>
  <c r="M384" i="2"/>
  <c r="M370" i="2"/>
  <c r="M362" i="2"/>
  <c r="M331" i="2"/>
  <c r="M328" i="2"/>
  <c r="M322" i="2"/>
  <c r="M319" i="2"/>
  <c r="M315" i="2"/>
  <c r="M304" i="2"/>
  <c r="M294" i="2"/>
  <c r="M287" i="2"/>
  <c r="M286" i="2"/>
  <c r="M283" i="2"/>
  <c r="M269" i="2"/>
  <c r="M264" i="2"/>
  <c r="M215" i="2"/>
  <c r="M209" i="2"/>
  <c r="M208" i="2"/>
  <c r="M202" i="2"/>
  <c r="M200" i="2"/>
  <c r="M199" i="2"/>
  <c r="M184" i="2"/>
  <c r="M160" i="2"/>
  <c r="M115" i="2"/>
  <c r="M114" i="2"/>
  <c r="M113" i="2"/>
  <c r="M99" i="2"/>
  <c r="M98" i="2"/>
  <c r="M97" i="2"/>
  <c r="M75" i="2"/>
  <c r="M71" i="2"/>
  <c r="M445" i="2" l="1"/>
  <c r="M471" i="2"/>
  <c r="M402" i="2"/>
  <c r="M357" i="2"/>
  <c r="M344" i="2"/>
  <c r="M318" i="2"/>
  <c r="M314" i="2"/>
  <c r="M276" i="2"/>
  <c r="M270" i="2"/>
  <c r="M249" i="2"/>
  <c r="M243" i="2"/>
  <c r="M217" i="2"/>
  <c r="M191" i="2"/>
  <c r="M188" i="2"/>
  <c r="M139" i="2"/>
  <c r="M136" i="2"/>
  <c r="M133" i="2"/>
  <c r="M129" i="2"/>
  <c r="M125" i="2"/>
  <c r="M118" i="2"/>
  <c r="M109" i="2"/>
  <c r="M95" i="2"/>
  <c r="M91" i="2"/>
  <c r="M62" i="2"/>
  <c r="M50" i="2"/>
  <c r="M38" i="2"/>
  <c r="M5" i="2"/>
  <c r="M464" i="2"/>
  <c r="M462" i="2"/>
  <c r="M449" i="2"/>
  <c r="M419" i="2"/>
  <c r="M385" i="2"/>
  <c r="M330" i="2"/>
  <c r="M326" i="2"/>
  <c r="M316" i="2"/>
  <c r="M303" i="2"/>
  <c r="M259" i="2"/>
  <c r="M207" i="2"/>
  <c r="M198" i="2"/>
  <c r="M105" i="2"/>
  <c r="M101" i="2"/>
  <c r="M78" i="2"/>
  <c r="M77" i="2"/>
  <c r="M472" i="2"/>
  <c r="M470" i="2"/>
  <c r="M469" i="2"/>
  <c r="M468" i="2"/>
  <c r="M465" i="2"/>
  <c r="M463" i="2"/>
  <c r="M461" i="2"/>
  <c r="M460" i="2"/>
  <c r="M459" i="2"/>
  <c r="M458" i="2"/>
  <c r="M455" i="2"/>
  <c r="M454" i="2"/>
  <c r="M451" i="2"/>
  <c r="M448" i="2"/>
  <c r="M447" i="2"/>
  <c r="M446" i="2"/>
  <c r="M439" i="2"/>
  <c r="M435" i="2"/>
  <c r="M434" i="2"/>
  <c r="M430" i="2"/>
  <c r="M428" i="2"/>
  <c r="M421" i="2"/>
  <c r="M418" i="2"/>
  <c r="M417" i="2"/>
  <c r="M416" i="2"/>
  <c r="M415" i="2"/>
  <c r="M410" i="2"/>
  <c r="M408" i="2"/>
  <c r="M404" i="2"/>
  <c r="M398" i="2"/>
  <c r="M397" i="2"/>
  <c r="M396" i="2"/>
  <c r="M391" i="2"/>
  <c r="M390" i="2"/>
  <c r="M388" i="2"/>
  <c r="M387" i="2"/>
  <c r="M386" i="2"/>
  <c r="M383" i="2"/>
  <c r="M382" i="2"/>
  <c r="M381" i="2"/>
  <c r="M380" i="2"/>
  <c r="M379" i="2"/>
  <c r="M377" i="2"/>
  <c r="M374" i="2"/>
  <c r="M372" i="2"/>
  <c r="M368" i="2"/>
  <c r="M366" i="2"/>
  <c r="M361" i="2"/>
  <c r="M359" i="2"/>
  <c r="M354" i="2"/>
  <c r="M353" i="2"/>
  <c r="M352" i="2"/>
  <c r="M350" i="2"/>
  <c r="M349" i="2"/>
  <c r="M348" i="2"/>
  <c r="M345" i="2"/>
  <c r="M341" i="2"/>
  <c r="M338" i="2"/>
  <c r="M336" i="2"/>
  <c r="M334" i="2"/>
  <c r="M333" i="2"/>
  <c r="M332" i="2"/>
  <c r="M325" i="2"/>
  <c r="M317" i="2"/>
  <c r="M308" i="2"/>
  <c r="M306" i="2"/>
  <c r="M302" i="2"/>
  <c r="M300" i="2"/>
  <c r="M299" i="2"/>
  <c r="M298" i="2"/>
  <c r="M297" i="2"/>
  <c r="M296" i="2"/>
  <c r="M293" i="2"/>
  <c r="M291" i="2"/>
  <c r="M285" i="2"/>
  <c r="M280" i="2"/>
  <c r="M274" i="2"/>
  <c r="M267" i="2"/>
  <c r="M266" i="2"/>
  <c r="M262" i="2"/>
  <c r="M261" i="2"/>
  <c r="M258" i="2"/>
  <c r="M256" i="2"/>
  <c r="M252" i="2"/>
  <c r="M251" i="2"/>
  <c r="M248" i="2"/>
  <c r="M247" i="2"/>
  <c r="M241" i="2"/>
  <c r="M234" i="2"/>
  <c r="M232" i="2"/>
  <c r="M231" i="2"/>
  <c r="M229" i="2"/>
  <c r="M225" i="2"/>
  <c r="M223" i="2"/>
  <c r="M221" i="2"/>
  <c r="M218" i="2"/>
  <c r="M213" i="2"/>
  <c r="M210" i="2"/>
  <c r="M205" i="2"/>
  <c r="M203" i="2"/>
  <c r="M201" i="2"/>
  <c r="M196" i="2"/>
  <c r="M192" i="2"/>
  <c r="M190" i="2"/>
  <c r="M189" i="2"/>
  <c r="M187" i="2"/>
  <c r="M183" i="2"/>
  <c r="M177" i="2"/>
  <c r="M175" i="2"/>
  <c r="M174" i="2"/>
  <c r="M172" i="2"/>
  <c r="M169" i="2"/>
  <c r="M168" i="2"/>
  <c r="M165" i="2"/>
  <c r="M164" i="2"/>
  <c r="M163" i="2"/>
  <c r="M157" i="2"/>
  <c r="M156" i="2"/>
  <c r="M148" i="2"/>
  <c r="M147" i="2"/>
  <c r="M146" i="2"/>
  <c r="M145" i="2"/>
  <c r="M144" i="2"/>
  <c r="M140" i="2"/>
  <c r="M137" i="2"/>
  <c r="M132" i="2"/>
  <c r="M128" i="2"/>
  <c r="M124" i="2"/>
  <c r="M123" i="2"/>
  <c r="M122" i="2"/>
  <c r="M120" i="2"/>
  <c r="M112" i="2"/>
  <c r="M111" i="2"/>
  <c r="M104" i="2"/>
  <c r="M103" i="2"/>
  <c r="M96" i="2"/>
  <c r="M94" i="2"/>
  <c r="M93" i="2"/>
  <c r="M92" i="2"/>
  <c r="M88" i="2"/>
  <c r="M87" i="2"/>
  <c r="M86" i="2"/>
  <c r="M82" i="2"/>
  <c r="M81" i="2"/>
  <c r="M80" i="2"/>
  <c r="M79" i="2"/>
  <c r="M74" i="2"/>
  <c r="M73" i="2"/>
  <c r="M72" i="2"/>
  <c r="M70" i="2"/>
  <c r="M69" i="2"/>
  <c r="M64" i="2"/>
  <c r="M63" i="2"/>
  <c r="M61" i="2"/>
  <c r="M60" i="2"/>
  <c r="M57" i="2"/>
  <c r="M54" i="2"/>
  <c r="M53" i="2"/>
  <c r="M52" i="2"/>
  <c r="M51" i="2"/>
  <c r="M49" i="2"/>
  <c r="M46" i="2"/>
  <c r="M44" i="2"/>
  <c r="M41" i="2"/>
  <c r="M36" i="2"/>
  <c r="M25" i="2"/>
  <c r="M23" i="2"/>
  <c r="M22" i="2"/>
  <c r="M19" i="2"/>
  <c r="M18" i="2"/>
  <c r="M17" i="2"/>
  <c r="M16" i="2"/>
  <c r="M11" i="2"/>
  <c r="M9" i="2"/>
  <c r="M3" i="2"/>
  <c r="M2" i="2"/>
  <c r="M8" i="2"/>
  <c r="M12" i="2"/>
  <c r="M39" i="2"/>
  <c r="M42" i="2"/>
  <c r="M474" i="2"/>
  <c r="M456" i="2"/>
  <c r="M453" i="2"/>
  <c r="M403" i="2"/>
  <c r="M394" i="2"/>
  <c r="I19" i="1"/>
  <c r="I18" i="1"/>
  <c r="I17" i="1"/>
  <c r="I16" i="1"/>
  <c r="I10" i="1"/>
  <c r="I9" i="1"/>
  <c r="I8" i="1"/>
  <c r="I7" i="1"/>
  <c r="I6" i="1"/>
  <c r="I5" i="1"/>
  <c r="L15" i="1" l="1"/>
  <c r="L14" i="1"/>
  <c r="L13" i="1"/>
  <c r="L12" i="1"/>
  <c r="L11" i="1"/>
  <c r="J15" i="1"/>
  <c r="J14" i="1"/>
  <c r="J13" i="1"/>
  <c r="J12" i="1"/>
  <c r="J11" i="1"/>
  <c r="L71" i="1"/>
  <c r="L72" i="1"/>
  <c r="L73" i="1"/>
  <c r="L70" i="1"/>
  <c r="L69" i="1"/>
  <c r="L68" i="1"/>
  <c r="L67" i="1"/>
  <c r="L66" i="1"/>
  <c r="J73" i="1"/>
  <c r="J72" i="1"/>
  <c r="J71" i="1"/>
  <c r="J70" i="1"/>
  <c r="J69" i="1"/>
  <c r="J68" i="1"/>
  <c r="J67" i="1"/>
  <c r="J66" i="1"/>
  <c r="M66" i="1" s="1"/>
  <c r="J2" i="1"/>
  <c r="L2" i="1"/>
  <c r="J3" i="1"/>
  <c r="L3" i="1"/>
  <c r="J4" i="1"/>
  <c r="L4" i="1"/>
  <c r="M37" i="2"/>
  <c r="M48" i="2"/>
  <c r="M121" i="2"/>
  <c r="M250" i="2"/>
  <c r="M265" i="2"/>
  <c r="M309" i="2"/>
  <c r="M320" i="2"/>
  <c r="M389" i="2"/>
  <c r="H21" i="1"/>
  <c r="J21" i="1" s="1"/>
  <c r="L20" i="1"/>
  <c r="J20" i="1"/>
  <c r="M467" i="2"/>
  <c r="M457" i="2"/>
  <c r="M441" i="2"/>
  <c r="M406" i="2"/>
  <c r="M85" i="2"/>
  <c r="L19" i="1"/>
  <c r="L18" i="1"/>
  <c r="L17" i="1"/>
  <c r="L16" i="1"/>
  <c r="J19" i="1"/>
  <c r="M19" i="1" s="1"/>
  <c r="J18" i="1"/>
  <c r="J17" i="1"/>
  <c r="J16" i="1"/>
  <c r="L10" i="1"/>
  <c r="L9" i="1"/>
  <c r="L8" i="1"/>
  <c r="L7" i="1"/>
  <c r="L6" i="1"/>
  <c r="L5" i="1"/>
  <c r="J5" i="1"/>
  <c r="J6" i="1"/>
  <c r="J7" i="1"/>
  <c r="J8" i="1"/>
  <c r="J9" i="1"/>
  <c r="J10" i="1"/>
  <c r="L40" i="1"/>
  <c r="L41" i="1"/>
  <c r="L42" i="1"/>
  <c r="L35" i="1"/>
  <c r="L43" i="1"/>
  <c r="L44" i="1"/>
  <c r="L45" i="1"/>
  <c r="L46" i="1"/>
  <c r="L47" i="1"/>
  <c r="L48" i="1"/>
  <c r="L49" i="1"/>
  <c r="L50" i="1"/>
  <c r="L51" i="1"/>
  <c r="L80" i="1"/>
  <c r="L81" i="1"/>
  <c r="L82" i="1"/>
  <c r="L83" i="1"/>
  <c r="L84" i="1"/>
  <c r="L85" i="1"/>
  <c r="L86" i="1"/>
  <c r="L99" i="1"/>
  <c r="L100" i="1"/>
  <c r="L101" i="1"/>
  <c r="L102" i="1"/>
  <c r="L103" i="1"/>
  <c r="L117" i="1"/>
  <c r="L118" i="1"/>
  <c r="L119" i="1"/>
  <c r="L120" i="1"/>
  <c r="L121" i="1"/>
  <c r="L122" i="1"/>
  <c r="L123" i="1"/>
  <c r="L124" i="1"/>
  <c r="L125" i="1"/>
  <c r="L126" i="1"/>
  <c r="L39" i="1"/>
  <c r="L38" i="1"/>
  <c r="L36" i="1"/>
  <c r="L96" i="1"/>
  <c r="L97" i="1"/>
  <c r="L22" i="1"/>
  <c r="L23" i="1"/>
  <c r="L25" i="1"/>
  <c r="L26" i="1"/>
  <c r="L27" i="1"/>
  <c r="L28" i="1"/>
  <c r="L29" i="1"/>
  <c r="L30" i="1"/>
  <c r="L31" i="1"/>
  <c r="L32" i="1"/>
  <c r="L33" i="1"/>
  <c r="L34" i="1"/>
  <c r="L37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74" i="1"/>
  <c r="L75" i="1"/>
  <c r="L76" i="1"/>
  <c r="L77" i="1"/>
  <c r="L78" i="1"/>
  <c r="L79" i="1"/>
  <c r="L87" i="1"/>
  <c r="L88" i="1"/>
  <c r="L89" i="1"/>
  <c r="L90" i="1"/>
  <c r="L91" i="1"/>
  <c r="L92" i="1"/>
  <c r="L93" i="1"/>
  <c r="L94" i="1"/>
  <c r="L95" i="1"/>
  <c r="L98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27" i="1"/>
  <c r="L128" i="1"/>
  <c r="L129" i="1"/>
  <c r="L130" i="1"/>
  <c r="L131" i="1"/>
  <c r="L132" i="1"/>
  <c r="L24" i="1"/>
  <c r="I123" i="1"/>
  <c r="J123" i="1" s="1"/>
  <c r="I124" i="1"/>
  <c r="J124" i="1" s="1"/>
  <c r="I125" i="1"/>
  <c r="J125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26" i="1"/>
  <c r="J126" i="1" s="1"/>
  <c r="I103" i="1"/>
  <c r="J103" i="1" s="1"/>
  <c r="I102" i="1"/>
  <c r="J102" i="1" s="1"/>
  <c r="I101" i="1"/>
  <c r="J101" i="1" s="1"/>
  <c r="I100" i="1"/>
  <c r="J100" i="1" s="1"/>
  <c r="I99" i="1"/>
  <c r="J99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35" i="1"/>
  <c r="J35" i="1" s="1"/>
  <c r="I42" i="1"/>
  <c r="J42" i="1" s="1"/>
  <c r="I41" i="1"/>
  <c r="J41" i="1" s="1"/>
  <c r="I40" i="1"/>
  <c r="J40" i="1" s="1"/>
  <c r="I39" i="1"/>
  <c r="J39" i="1" s="1"/>
  <c r="I38" i="1"/>
  <c r="J38" i="1" s="1"/>
  <c r="J132" i="1"/>
  <c r="J131" i="1"/>
  <c r="J130" i="1"/>
  <c r="J129" i="1"/>
  <c r="J128" i="1"/>
  <c r="J127" i="1"/>
  <c r="J116" i="1"/>
  <c r="J115" i="1"/>
  <c r="M443" i="2"/>
  <c r="M329" i="2"/>
  <c r="M155" i="2"/>
  <c r="M26" i="2"/>
  <c r="K358" i="2"/>
  <c r="M358" i="2" s="1"/>
  <c r="K356" i="2"/>
  <c r="M356" i="2" s="1"/>
  <c r="K351" i="2"/>
  <c r="M351" i="2" s="1"/>
  <c r="K343" i="2"/>
  <c r="M343" i="2" s="1"/>
  <c r="K337" i="2"/>
  <c r="M337" i="2" s="1"/>
  <c r="K324" i="2"/>
  <c r="M324" i="2" s="1"/>
  <c r="K323" i="2"/>
  <c r="M323" i="2" s="1"/>
  <c r="K311" i="2"/>
  <c r="M311" i="2" s="1"/>
  <c r="K307" i="2"/>
  <c r="M307" i="2" s="1"/>
  <c r="K305" i="2"/>
  <c r="M305" i="2" s="1"/>
  <c r="K295" i="2"/>
  <c r="M295" i="2" s="1"/>
  <c r="K292" i="2"/>
  <c r="M292" i="2" s="1"/>
  <c r="K290" i="2"/>
  <c r="M290" i="2" s="1"/>
  <c r="K288" i="2"/>
  <c r="M288" i="2" s="1"/>
  <c r="K281" i="2"/>
  <c r="M281" i="2" s="1"/>
  <c r="K277" i="2"/>
  <c r="M277" i="2" s="1"/>
  <c r="K272" i="2"/>
  <c r="M272" i="2" s="1"/>
  <c r="K271" i="2"/>
  <c r="M271" i="2" s="1"/>
  <c r="K263" i="2"/>
  <c r="M263" i="2" s="1"/>
  <c r="K257" i="2"/>
  <c r="M257" i="2" s="1"/>
  <c r="K246" i="2"/>
  <c r="M246" i="2" s="1"/>
  <c r="K240" i="2"/>
  <c r="M240" i="2" s="1"/>
  <c r="K233" i="2"/>
  <c r="M233" i="2" s="1"/>
  <c r="K230" i="2"/>
  <c r="M230" i="2" s="1"/>
  <c r="K227" i="2"/>
  <c r="M227" i="2" s="1"/>
  <c r="K219" i="2"/>
  <c r="M219" i="2" s="1"/>
  <c r="K182" i="2"/>
  <c r="M182" i="2" s="1"/>
  <c r="K176" i="2"/>
  <c r="M176" i="2" s="1"/>
  <c r="K170" i="2"/>
  <c r="M170" i="2" s="1"/>
  <c r="K161" i="2"/>
  <c r="M161" i="2" s="1"/>
  <c r="K158" i="2"/>
  <c r="M158" i="2" s="1"/>
  <c r="K135" i="2"/>
  <c r="M135" i="2" s="1"/>
  <c r="K130" i="2"/>
  <c r="M130" i="2" s="1"/>
  <c r="K116" i="2"/>
  <c r="M116" i="2" s="1"/>
  <c r="K84" i="2"/>
  <c r="M84" i="2" s="1"/>
  <c r="K76" i="2"/>
  <c r="M76" i="2" s="1"/>
  <c r="K67" i="2"/>
  <c r="M67" i="2" s="1"/>
  <c r="K65" i="2"/>
  <c r="M65" i="2" s="1"/>
  <c r="K59" i="2"/>
  <c r="M59" i="2" s="1"/>
  <c r="K47" i="2"/>
  <c r="M47" i="2" s="1"/>
  <c r="K40" i="2"/>
  <c r="M40" i="2" s="1"/>
  <c r="K32" i="2"/>
  <c r="M32" i="2" s="1"/>
  <c r="K31" i="2"/>
  <c r="M31" i="2" s="1"/>
  <c r="K30" i="2"/>
  <c r="M30" i="2" s="1"/>
  <c r="K29" i="2"/>
  <c r="M29" i="2" s="1"/>
  <c r="K14" i="2"/>
  <c r="M14" i="2" s="1"/>
  <c r="K10" i="2"/>
  <c r="M10" i="2" s="1"/>
  <c r="K6" i="2"/>
  <c r="M6" i="2" s="1"/>
  <c r="K473" i="2"/>
  <c r="M473" i="2" s="1"/>
  <c r="K452" i="2"/>
  <c r="M452" i="2" s="1"/>
  <c r="K442" i="2"/>
  <c r="M442" i="2" s="1"/>
  <c r="K436" i="2"/>
  <c r="M436" i="2" s="1"/>
  <c r="K433" i="2"/>
  <c r="M433" i="2" s="1"/>
  <c r="K432" i="2"/>
  <c r="M432" i="2" s="1"/>
  <c r="K429" i="2"/>
  <c r="M429" i="2" s="1"/>
  <c r="K427" i="2"/>
  <c r="M427" i="2" s="1"/>
  <c r="K424" i="2"/>
  <c r="M424" i="2" s="1"/>
  <c r="K405" i="2"/>
  <c r="M405" i="2" s="1"/>
  <c r="K401" i="2"/>
  <c r="M401" i="2" s="1"/>
  <c r="K392" i="2"/>
  <c r="M392" i="2" s="1"/>
  <c r="K375" i="2"/>
  <c r="M375" i="2" s="1"/>
  <c r="K373" i="2"/>
  <c r="M373" i="2" s="1"/>
  <c r="K371" i="2"/>
  <c r="M371" i="2" s="1"/>
  <c r="K364" i="2"/>
  <c r="M364" i="2" s="1"/>
  <c r="K365" i="2"/>
  <c r="M365" i="2" s="1"/>
  <c r="K363" i="2"/>
  <c r="M363" i="2" s="1"/>
  <c r="M466" i="2"/>
  <c r="M450" i="2"/>
  <c r="M444" i="2"/>
  <c r="M438" i="2"/>
  <c r="M437" i="2"/>
  <c r="M431" i="2"/>
  <c r="M426" i="2"/>
  <c r="M409" i="2"/>
  <c r="M407" i="2"/>
  <c r="M400" i="2"/>
  <c r="M399" i="2"/>
  <c r="M378" i="2"/>
  <c r="M376" i="2"/>
  <c r="M369" i="2"/>
  <c r="M367" i="2"/>
  <c r="M360" i="2"/>
  <c r="M339" i="2"/>
  <c r="M327" i="2"/>
  <c r="M321" i="2"/>
  <c r="M310" i="2"/>
  <c r="M301" i="2"/>
  <c r="M289" i="2"/>
  <c r="M284" i="2"/>
  <c r="M282" i="2"/>
  <c r="M279" i="2"/>
  <c r="M260" i="2"/>
  <c r="M253" i="2"/>
  <c r="M244" i="2"/>
  <c r="M242" i="2"/>
  <c r="M237" i="2"/>
  <c r="M228" i="2"/>
  <c r="M224" i="2"/>
  <c r="M222" i="2"/>
  <c r="M216" i="2"/>
  <c r="M212" i="2"/>
  <c r="M206" i="2"/>
  <c r="M195" i="2"/>
  <c r="M194" i="2"/>
  <c r="M181" i="2"/>
  <c r="M173" i="2"/>
  <c r="M151" i="2"/>
  <c r="M143" i="2"/>
  <c r="M142" i="2"/>
  <c r="M141" i="2"/>
  <c r="M138" i="2"/>
  <c r="M127" i="2"/>
  <c r="M119" i="2"/>
  <c r="M110" i="2"/>
  <c r="M108" i="2"/>
  <c r="M106" i="2"/>
  <c r="M102" i="2"/>
  <c r="M90" i="2"/>
  <c r="M89" i="2"/>
  <c r="M83" i="2"/>
  <c r="M43" i="2"/>
  <c r="M34" i="2"/>
  <c r="M33" i="2"/>
  <c r="M24" i="2"/>
  <c r="M21" i="2"/>
  <c r="M20" i="2"/>
  <c r="M15" i="2"/>
  <c r="M13" i="2"/>
  <c r="M7" i="2"/>
  <c r="I466" i="2"/>
  <c r="I467" i="2"/>
  <c r="I468" i="2"/>
  <c r="N468" i="2" s="1"/>
  <c r="I469" i="2"/>
  <c r="N469" i="2" s="1"/>
  <c r="I470" i="2"/>
  <c r="N470" i="2" s="1"/>
  <c r="I471" i="2"/>
  <c r="N471" i="2" s="1"/>
  <c r="I472" i="2"/>
  <c r="N472" i="2" s="1"/>
  <c r="I473" i="2"/>
  <c r="I474" i="2"/>
  <c r="N474" i="2" s="1"/>
  <c r="I450" i="2"/>
  <c r="I451" i="2"/>
  <c r="I452" i="2"/>
  <c r="I453" i="2"/>
  <c r="N453" i="2" s="1"/>
  <c r="I454" i="2"/>
  <c r="N454" i="2" s="1"/>
  <c r="I455" i="2"/>
  <c r="N455" i="2" s="1"/>
  <c r="I456" i="2"/>
  <c r="N456" i="2" s="1"/>
  <c r="I457" i="2"/>
  <c r="I458" i="2"/>
  <c r="N458" i="2" s="1"/>
  <c r="I459" i="2"/>
  <c r="N459" i="2" s="1"/>
  <c r="I460" i="2"/>
  <c r="N460" i="2" s="1"/>
  <c r="I461" i="2"/>
  <c r="N461" i="2" s="1"/>
  <c r="I462" i="2"/>
  <c r="N462" i="2" s="1"/>
  <c r="I463" i="2"/>
  <c r="N463" i="2" s="1"/>
  <c r="I464" i="2"/>
  <c r="N464" i="2" s="1"/>
  <c r="I465" i="2"/>
  <c r="N465" i="2" s="1"/>
  <c r="G440" i="2"/>
  <c r="M440" i="2" s="1"/>
  <c r="I438" i="2"/>
  <c r="I439" i="2"/>
  <c r="N439" i="2" s="1"/>
  <c r="I441" i="2"/>
  <c r="I442" i="2"/>
  <c r="I443" i="2"/>
  <c r="I444" i="2"/>
  <c r="I445" i="2"/>
  <c r="N445" i="2" s="1"/>
  <c r="I446" i="2"/>
  <c r="N446" i="2" s="1"/>
  <c r="I447" i="2"/>
  <c r="N447" i="2" s="1"/>
  <c r="I448" i="2"/>
  <c r="N448" i="2" s="1"/>
  <c r="I449" i="2"/>
  <c r="N449" i="2" s="1"/>
  <c r="I437" i="2"/>
  <c r="I436" i="2"/>
  <c r="I435" i="2"/>
  <c r="N435" i="2" s="1"/>
  <c r="I434" i="2"/>
  <c r="N434" i="2" s="1"/>
  <c r="I433" i="2"/>
  <c r="I432" i="2"/>
  <c r="I431" i="2"/>
  <c r="I424" i="2"/>
  <c r="I426" i="2"/>
  <c r="I427" i="2"/>
  <c r="I428" i="2"/>
  <c r="N428" i="2" s="1"/>
  <c r="I429" i="2"/>
  <c r="I430" i="2"/>
  <c r="N430" i="2" s="1"/>
  <c r="I422" i="2"/>
  <c r="N422" i="2" s="1"/>
  <c r="I421" i="2"/>
  <c r="G425" i="2"/>
  <c r="M425" i="2" s="1"/>
  <c r="G423" i="2"/>
  <c r="M423" i="2" s="1"/>
  <c r="G395" i="2"/>
  <c r="I395" i="2" s="1"/>
  <c r="I396" i="2"/>
  <c r="N396" i="2" s="1"/>
  <c r="I397" i="2"/>
  <c r="N397" i="2" s="1"/>
  <c r="I398" i="2"/>
  <c r="N398" i="2" s="1"/>
  <c r="I399" i="2"/>
  <c r="I400" i="2"/>
  <c r="I401" i="2"/>
  <c r="I402" i="2"/>
  <c r="N402" i="2" s="1"/>
  <c r="I403" i="2"/>
  <c r="N403" i="2" s="1"/>
  <c r="I404" i="2"/>
  <c r="N404" i="2" s="1"/>
  <c r="I405" i="2"/>
  <c r="I406" i="2"/>
  <c r="I407" i="2"/>
  <c r="I408" i="2"/>
  <c r="N408" i="2" s="1"/>
  <c r="I409" i="2"/>
  <c r="I410" i="2"/>
  <c r="N410" i="2" s="1"/>
  <c r="I413" i="2"/>
  <c r="N413" i="2" s="1"/>
  <c r="I414" i="2"/>
  <c r="N414" i="2" s="1"/>
  <c r="I415" i="2"/>
  <c r="N415" i="2" s="1"/>
  <c r="I416" i="2"/>
  <c r="N416" i="2" s="1"/>
  <c r="I417" i="2"/>
  <c r="N417" i="2" s="1"/>
  <c r="I418" i="2"/>
  <c r="N418" i="2" s="1"/>
  <c r="I419" i="2"/>
  <c r="N419" i="2" s="1"/>
  <c r="I420" i="2"/>
  <c r="N420" i="2" s="1"/>
  <c r="I394" i="2"/>
  <c r="N394" i="2" s="1"/>
  <c r="I393" i="2"/>
  <c r="N393" i="2" s="1"/>
  <c r="I392" i="2"/>
  <c r="I391" i="2"/>
  <c r="G412" i="2"/>
  <c r="I412" i="2" s="1"/>
  <c r="G411" i="2"/>
  <c r="M411" i="2" s="1"/>
  <c r="I379" i="2"/>
  <c r="N379" i="2" s="1"/>
  <c r="I380" i="2"/>
  <c r="N380" i="2" s="1"/>
  <c r="I381" i="2"/>
  <c r="N381" i="2" s="1"/>
  <c r="I382" i="2"/>
  <c r="N382" i="2" s="1"/>
  <c r="I383" i="2"/>
  <c r="N383" i="2" s="1"/>
  <c r="I384" i="2"/>
  <c r="N384" i="2" s="1"/>
  <c r="I385" i="2"/>
  <c r="N385" i="2" s="1"/>
  <c r="I386" i="2"/>
  <c r="N386" i="2" s="1"/>
  <c r="I387" i="2"/>
  <c r="N387" i="2" s="1"/>
  <c r="I388" i="2"/>
  <c r="N388" i="2" s="1"/>
  <c r="I389" i="2"/>
  <c r="I390" i="2"/>
  <c r="N390" i="2" s="1"/>
  <c r="I378" i="2"/>
  <c r="I377" i="2"/>
  <c r="N377" i="2" s="1"/>
  <c r="I376" i="2"/>
  <c r="I375" i="2"/>
  <c r="I374" i="2"/>
  <c r="N374" i="2" s="1"/>
  <c r="I373" i="2"/>
  <c r="I372" i="2"/>
  <c r="N372" i="2" s="1"/>
  <c r="I371" i="2"/>
  <c r="I370" i="2"/>
  <c r="N370" i="2" s="1"/>
  <c r="I369" i="2"/>
  <c r="I368" i="2"/>
  <c r="N368" i="2" s="1"/>
  <c r="I367" i="2"/>
  <c r="I366" i="2"/>
  <c r="N366" i="2" s="1"/>
  <c r="I365" i="2"/>
  <c r="I364" i="2"/>
  <c r="I363" i="2"/>
  <c r="I362" i="2"/>
  <c r="N362" i="2" s="1"/>
  <c r="I361" i="2"/>
  <c r="I353" i="2"/>
  <c r="N353" i="2" s="1"/>
  <c r="I354" i="2"/>
  <c r="N354" i="2" s="1"/>
  <c r="I356" i="2"/>
  <c r="I357" i="2"/>
  <c r="N357" i="2" s="1"/>
  <c r="I358" i="2"/>
  <c r="I359" i="2"/>
  <c r="N359" i="2" s="1"/>
  <c r="I360" i="2"/>
  <c r="I352" i="2"/>
  <c r="N352" i="2" s="1"/>
  <c r="G355" i="2"/>
  <c r="M355" i="2" s="1"/>
  <c r="G347" i="2"/>
  <c r="M347" i="2" s="1"/>
  <c r="G346" i="2"/>
  <c r="M346" i="2" s="1"/>
  <c r="G342" i="2"/>
  <c r="I342" i="2" s="1"/>
  <c r="G335" i="2"/>
  <c r="M335" i="2" s="1"/>
  <c r="G340" i="2"/>
  <c r="I340" i="2" s="1"/>
  <c r="G312" i="2"/>
  <c r="M312" i="2" s="1"/>
  <c r="G313" i="2"/>
  <c r="M313" i="2" s="1"/>
  <c r="I292" i="2"/>
  <c r="G275" i="2"/>
  <c r="M275" i="2" s="1"/>
  <c r="G278" i="2"/>
  <c r="M278" i="2" s="1"/>
  <c r="G273" i="2"/>
  <c r="M273" i="2" s="1"/>
  <c r="G268" i="2"/>
  <c r="M268" i="2" s="1"/>
  <c r="G255" i="2"/>
  <c r="M255" i="2" s="1"/>
  <c r="G254" i="2"/>
  <c r="M254" i="2" s="1"/>
  <c r="G245" i="2"/>
  <c r="I245" i="2" s="1"/>
  <c r="G239" i="2"/>
  <c r="G238" i="2"/>
  <c r="M238" i="2" s="1"/>
  <c r="G236" i="2"/>
  <c r="M236" i="2" s="1"/>
  <c r="G235" i="2"/>
  <c r="M235" i="2" s="1"/>
  <c r="I226" i="2"/>
  <c r="N226" i="2" s="1"/>
  <c r="I223" i="2"/>
  <c r="N223" i="2" s="1"/>
  <c r="G220" i="2"/>
  <c r="M220" i="2" s="1"/>
  <c r="G214" i="2"/>
  <c r="M214" i="2" s="1"/>
  <c r="I210" i="2"/>
  <c r="N210" i="2" s="1"/>
  <c r="G211" i="2"/>
  <c r="M211" i="2" s="1"/>
  <c r="G204" i="2"/>
  <c r="M204" i="2" s="1"/>
  <c r="G197" i="2"/>
  <c r="M197" i="2" s="1"/>
  <c r="G193" i="2"/>
  <c r="M193" i="2" s="1"/>
  <c r="G186" i="2"/>
  <c r="M186" i="2" s="1"/>
  <c r="G185" i="2"/>
  <c r="M185" i="2" s="1"/>
  <c r="G180" i="2"/>
  <c r="M180" i="2" s="1"/>
  <c r="I181" i="2"/>
  <c r="I182" i="2"/>
  <c r="I183" i="2"/>
  <c r="N183" i="2" s="1"/>
  <c r="I184" i="2"/>
  <c r="N184" i="2" s="1"/>
  <c r="I187" i="2"/>
  <c r="N187" i="2" s="1"/>
  <c r="I188" i="2"/>
  <c r="N188" i="2" s="1"/>
  <c r="I189" i="2"/>
  <c r="I190" i="2"/>
  <c r="N190" i="2" s="1"/>
  <c r="I191" i="2"/>
  <c r="N191" i="2" s="1"/>
  <c r="I192" i="2"/>
  <c r="N192" i="2" s="1"/>
  <c r="I194" i="2"/>
  <c r="I195" i="2"/>
  <c r="I196" i="2"/>
  <c r="N196" i="2" s="1"/>
  <c r="I198" i="2"/>
  <c r="N198" i="2" s="1"/>
  <c r="I199" i="2"/>
  <c r="N199" i="2" s="1"/>
  <c r="I200" i="2"/>
  <c r="N200" i="2" s="1"/>
  <c r="I201" i="2"/>
  <c r="N201" i="2" s="1"/>
  <c r="I202" i="2"/>
  <c r="N202" i="2" s="1"/>
  <c r="I203" i="2"/>
  <c r="N203" i="2" s="1"/>
  <c r="I205" i="2"/>
  <c r="N205" i="2" s="1"/>
  <c r="I206" i="2"/>
  <c r="I207" i="2"/>
  <c r="N207" i="2" s="1"/>
  <c r="I208" i="2"/>
  <c r="N208" i="2" s="1"/>
  <c r="I209" i="2"/>
  <c r="N209" i="2" s="1"/>
  <c r="I212" i="2"/>
  <c r="I213" i="2"/>
  <c r="I215" i="2"/>
  <c r="N215" i="2" s="1"/>
  <c r="I216" i="2"/>
  <c r="I217" i="2"/>
  <c r="N217" i="2" s="1"/>
  <c r="I218" i="2"/>
  <c r="N218" i="2" s="1"/>
  <c r="I219" i="2"/>
  <c r="I221" i="2"/>
  <c r="N221" i="2" s="1"/>
  <c r="I222" i="2"/>
  <c r="I224" i="2"/>
  <c r="I225" i="2"/>
  <c r="N225" i="2" s="1"/>
  <c r="I227" i="2"/>
  <c r="I228" i="2"/>
  <c r="I229" i="2"/>
  <c r="I230" i="2"/>
  <c r="I231" i="2"/>
  <c r="N231" i="2" s="1"/>
  <c r="I232" i="2"/>
  <c r="N232" i="2" s="1"/>
  <c r="I233" i="2"/>
  <c r="I234" i="2"/>
  <c r="N234" i="2" s="1"/>
  <c r="I237" i="2"/>
  <c r="I240" i="2"/>
  <c r="I241" i="2"/>
  <c r="N241" i="2" s="1"/>
  <c r="I242" i="2"/>
  <c r="I243" i="2"/>
  <c r="N243" i="2" s="1"/>
  <c r="I244" i="2"/>
  <c r="I246" i="2"/>
  <c r="I247" i="2"/>
  <c r="N247" i="2" s="1"/>
  <c r="I248" i="2"/>
  <c r="N248" i="2" s="1"/>
  <c r="I249" i="2"/>
  <c r="N249" i="2" s="1"/>
  <c r="I250" i="2"/>
  <c r="I251" i="2"/>
  <c r="N251" i="2" s="1"/>
  <c r="I252" i="2"/>
  <c r="N252" i="2" s="1"/>
  <c r="I253" i="2"/>
  <c r="I256" i="2"/>
  <c r="N256" i="2" s="1"/>
  <c r="I257" i="2"/>
  <c r="I258" i="2"/>
  <c r="N258" i="2" s="1"/>
  <c r="I259" i="2"/>
  <c r="I260" i="2"/>
  <c r="I261" i="2"/>
  <c r="N261" i="2" s="1"/>
  <c r="I262" i="2"/>
  <c r="N262" i="2" s="1"/>
  <c r="I263" i="2"/>
  <c r="I264" i="2"/>
  <c r="N264" i="2" s="1"/>
  <c r="I265" i="2"/>
  <c r="I266" i="2"/>
  <c r="N266" i="2" s="1"/>
  <c r="I267" i="2"/>
  <c r="N267" i="2" s="1"/>
  <c r="I269" i="2"/>
  <c r="N269" i="2" s="1"/>
  <c r="I270" i="2"/>
  <c r="I271" i="2"/>
  <c r="I272" i="2"/>
  <c r="I274" i="2"/>
  <c r="N274" i="2" s="1"/>
  <c r="I276" i="2"/>
  <c r="N276" i="2" s="1"/>
  <c r="I277" i="2"/>
  <c r="I278" i="2"/>
  <c r="I279" i="2"/>
  <c r="I280" i="2"/>
  <c r="N280" i="2" s="1"/>
  <c r="I281" i="2"/>
  <c r="I282" i="2"/>
  <c r="I283" i="2"/>
  <c r="N283" i="2" s="1"/>
  <c r="I284" i="2"/>
  <c r="I285" i="2"/>
  <c r="N285" i="2" s="1"/>
  <c r="I286" i="2"/>
  <c r="N286" i="2" s="1"/>
  <c r="I287" i="2"/>
  <c r="N287" i="2" s="1"/>
  <c r="I288" i="2"/>
  <c r="I289" i="2"/>
  <c r="I290" i="2"/>
  <c r="I291" i="2"/>
  <c r="N291" i="2" s="1"/>
  <c r="I293" i="2"/>
  <c r="I294" i="2"/>
  <c r="N294" i="2" s="1"/>
  <c r="I295" i="2"/>
  <c r="I296" i="2"/>
  <c r="N296" i="2" s="1"/>
  <c r="I297" i="2"/>
  <c r="N297" i="2" s="1"/>
  <c r="I298" i="2"/>
  <c r="N298" i="2" s="1"/>
  <c r="I299" i="2"/>
  <c r="N299" i="2" s="1"/>
  <c r="I300" i="2"/>
  <c r="N300" i="2" s="1"/>
  <c r="I301" i="2"/>
  <c r="I302" i="2"/>
  <c r="N302" i="2" s="1"/>
  <c r="I303" i="2"/>
  <c r="N303" i="2" s="1"/>
  <c r="I304" i="2"/>
  <c r="N304" i="2" s="1"/>
  <c r="I305" i="2"/>
  <c r="I306" i="2"/>
  <c r="N306" i="2" s="1"/>
  <c r="I307" i="2"/>
  <c r="I308" i="2"/>
  <c r="N308" i="2" s="1"/>
  <c r="I309" i="2"/>
  <c r="I310" i="2"/>
  <c r="I311" i="2"/>
  <c r="I314" i="2"/>
  <c r="N314" i="2" s="1"/>
  <c r="I315" i="2"/>
  <c r="N315" i="2" s="1"/>
  <c r="I316" i="2"/>
  <c r="N316" i="2" s="1"/>
  <c r="I317" i="2"/>
  <c r="N317" i="2" s="1"/>
  <c r="I318" i="2"/>
  <c r="N318" i="2" s="1"/>
  <c r="I319" i="2"/>
  <c r="N319" i="2" s="1"/>
  <c r="I320" i="2"/>
  <c r="I321" i="2"/>
  <c r="I322" i="2"/>
  <c r="N322" i="2" s="1"/>
  <c r="I323" i="2"/>
  <c r="I324" i="2"/>
  <c r="I325" i="2"/>
  <c r="N325" i="2" s="1"/>
  <c r="I326" i="2"/>
  <c r="I327" i="2"/>
  <c r="I328" i="2"/>
  <c r="N328" i="2" s="1"/>
  <c r="I329" i="2"/>
  <c r="I330" i="2"/>
  <c r="N330" i="2" s="1"/>
  <c r="I331" i="2"/>
  <c r="N331" i="2" s="1"/>
  <c r="I332" i="2"/>
  <c r="N332" i="2" s="1"/>
  <c r="I333" i="2"/>
  <c r="N333" i="2" s="1"/>
  <c r="I334" i="2"/>
  <c r="N334" i="2" s="1"/>
  <c r="I336" i="2"/>
  <c r="N336" i="2" s="1"/>
  <c r="I337" i="2"/>
  <c r="I338" i="2"/>
  <c r="N338" i="2" s="1"/>
  <c r="I339" i="2"/>
  <c r="I341" i="2"/>
  <c r="I343" i="2"/>
  <c r="I344" i="2"/>
  <c r="N344" i="2" s="1"/>
  <c r="I345" i="2"/>
  <c r="N345" i="2" s="1"/>
  <c r="I348" i="2"/>
  <c r="N348" i="2" s="1"/>
  <c r="I349" i="2"/>
  <c r="N349" i="2" s="1"/>
  <c r="I350" i="2"/>
  <c r="N350" i="2" s="1"/>
  <c r="I351" i="2"/>
  <c r="G179" i="2"/>
  <c r="M179" i="2" s="1"/>
  <c r="I178" i="2"/>
  <c r="N178" i="2" s="1"/>
  <c r="G171" i="2"/>
  <c r="I172" i="2"/>
  <c r="N172" i="2" s="1"/>
  <c r="I173" i="2"/>
  <c r="I174" i="2"/>
  <c r="N174" i="2" s="1"/>
  <c r="I175" i="2"/>
  <c r="N175" i="2" s="1"/>
  <c r="I176" i="2"/>
  <c r="I177" i="2"/>
  <c r="N177" i="2" s="1"/>
  <c r="I170" i="2"/>
  <c r="I169" i="2"/>
  <c r="N169" i="2" s="1"/>
  <c r="I168" i="2"/>
  <c r="N168" i="2" s="1"/>
  <c r="I167" i="2"/>
  <c r="N167" i="2" s="1"/>
  <c r="I166" i="2"/>
  <c r="N166" i="2" s="1"/>
  <c r="I165" i="2"/>
  <c r="N165" i="2" s="1"/>
  <c r="I164" i="2"/>
  <c r="I335" i="2" l="1"/>
  <c r="I254" i="2"/>
  <c r="I193" i="2"/>
  <c r="I236" i="2"/>
  <c r="I186" i="2"/>
  <c r="N186" i="2" s="1"/>
  <c r="N451" i="2"/>
  <c r="F4" i="8" s="1"/>
  <c r="E4" i="8"/>
  <c r="I185" i="2"/>
  <c r="N185" i="2" s="1"/>
  <c r="M68" i="1"/>
  <c r="C31" i="9"/>
  <c r="I268" i="2"/>
  <c r="N268" i="2" s="1"/>
  <c r="I238" i="2"/>
  <c r="N238" i="2" s="1"/>
  <c r="I347" i="2"/>
  <c r="N347" i="2" s="1"/>
  <c r="N164" i="2"/>
  <c r="N341" i="2"/>
  <c r="N326" i="2"/>
  <c r="C24" i="9"/>
  <c r="N293" i="2"/>
  <c r="C22" i="9"/>
  <c r="N270" i="2"/>
  <c r="N259" i="2"/>
  <c r="N229" i="2"/>
  <c r="N213" i="2"/>
  <c r="N189" i="2"/>
  <c r="N361" i="2"/>
  <c r="C26" i="9"/>
  <c r="C28" i="9"/>
  <c r="N391" i="2"/>
  <c r="N421" i="2"/>
  <c r="D8" i="7"/>
  <c r="D13" i="7" s="1"/>
  <c r="I3" i="7" s="1"/>
  <c r="C34" i="9"/>
  <c r="C63" i="9" s="1"/>
  <c r="M395" i="2"/>
  <c r="N395" i="2" s="1"/>
  <c r="I440" i="2"/>
  <c r="N440" i="2" s="1"/>
  <c r="M72" i="1"/>
  <c r="N335" i="2"/>
  <c r="I255" i="2"/>
  <c r="N255" i="2" s="1"/>
  <c r="I275" i="2"/>
  <c r="N275" i="2" s="1"/>
  <c r="I211" i="2"/>
  <c r="N211" i="2" s="1"/>
  <c r="M46" i="1"/>
  <c r="M131" i="1"/>
  <c r="M115" i="1"/>
  <c r="M35" i="1"/>
  <c r="L21" i="1"/>
  <c r="M21" i="1" s="1"/>
  <c r="M14" i="1"/>
  <c r="N369" i="2"/>
  <c r="N278" i="2"/>
  <c r="N409" i="2"/>
  <c r="N467" i="2"/>
  <c r="N194" i="2"/>
  <c r="M342" i="2"/>
  <c r="N342" i="2" s="1"/>
  <c r="I214" i="2"/>
  <c r="N214" i="2" s="1"/>
  <c r="I197" i="2"/>
  <c r="N197" i="2" s="1"/>
  <c r="M245" i="2"/>
  <c r="N245" i="2" s="1"/>
  <c r="M412" i="2"/>
  <c r="N412" i="2" s="1"/>
  <c r="I171" i="2"/>
  <c r="M171" i="2"/>
  <c r="I346" i="2"/>
  <c r="N346" i="2" s="1"/>
  <c r="I313" i="2"/>
  <c r="N313" i="2" s="1"/>
  <c r="I235" i="2"/>
  <c r="N235" i="2" s="1"/>
  <c r="I204" i="2"/>
  <c r="N204" i="2" s="1"/>
  <c r="I180" i="2"/>
  <c r="N180" i="2" s="1"/>
  <c r="I355" i="2"/>
  <c r="N355" i="2" s="1"/>
  <c r="I411" i="2"/>
  <c r="N411" i="2" s="1"/>
  <c r="I423" i="2"/>
  <c r="N423" i="2" s="1"/>
  <c r="I425" i="2"/>
  <c r="N425" i="2" s="1"/>
  <c r="I273" i="2"/>
  <c r="N273" i="2" s="1"/>
  <c r="N170" i="2"/>
  <c r="I312" i="2"/>
  <c r="N271" i="2"/>
  <c r="I220" i="2"/>
  <c r="N220" i="2" s="1"/>
  <c r="I179" i="2"/>
  <c r="N179" i="2" s="1"/>
  <c r="I239" i="2"/>
  <c r="M239" i="2"/>
  <c r="N358" i="2"/>
  <c r="M340" i="2"/>
  <c r="N340" i="2" s="1"/>
  <c r="N450" i="2"/>
  <c r="N457" i="2"/>
  <c r="N466" i="2"/>
  <c r="N452" i="2"/>
  <c r="N473" i="2"/>
  <c r="N265" i="2"/>
  <c r="M41" i="1"/>
  <c r="M48" i="1"/>
  <c r="M80" i="1"/>
  <c r="M121" i="1"/>
  <c r="M117" i="1"/>
  <c r="M38" i="1"/>
  <c r="M130" i="1"/>
  <c r="M132" i="1"/>
  <c r="M125" i="1"/>
  <c r="M127" i="1"/>
  <c r="M128" i="1"/>
  <c r="M100" i="1"/>
  <c r="M13" i="1"/>
  <c r="M50" i="1"/>
  <c r="M82" i="1"/>
  <c r="M123" i="1"/>
  <c r="M119" i="1"/>
  <c r="M118" i="1"/>
  <c r="M85" i="1"/>
  <c r="M49" i="1"/>
  <c r="M44" i="1"/>
  <c r="M84" i="1"/>
  <c r="M9" i="1"/>
  <c r="M20" i="1"/>
  <c r="N441" i="2"/>
  <c r="M43" i="1"/>
  <c r="M124" i="1"/>
  <c r="M101" i="1"/>
  <c r="M83" i="1"/>
  <c r="M129" i="1"/>
  <c r="M39" i="1"/>
  <c r="M86" i="1"/>
  <c r="M126" i="1"/>
  <c r="M120" i="1"/>
  <c r="M51" i="1"/>
  <c r="M40" i="1"/>
  <c r="M116" i="1"/>
  <c r="M102" i="1"/>
  <c r="M122" i="1"/>
  <c r="M81" i="1"/>
  <c r="M42" i="1"/>
  <c r="N295" i="2"/>
  <c r="N233" i="2"/>
  <c r="N182" i="2"/>
  <c r="M45" i="1"/>
  <c r="M103" i="1"/>
  <c r="M47" i="1"/>
  <c r="M99" i="1"/>
  <c r="M73" i="1"/>
  <c r="M10" i="1"/>
  <c r="M6" i="1"/>
  <c r="M11" i="1"/>
  <c r="M69" i="1"/>
  <c r="M12" i="1"/>
  <c r="M4" i="1"/>
  <c r="M2" i="1"/>
  <c r="M67" i="1"/>
  <c r="M70" i="1"/>
  <c r="M71" i="1"/>
  <c r="M15" i="1"/>
  <c r="N406" i="2"/>
  <c r="N320" i="2"/>
  <c r="N337" i="2"/>
  <c r="N227" i="2"/>
  <c r="N392" i="2"/>
  <c r="N427" i="2"/>
  <c r="M18" i="1"/>
  <c r="M17" i="1"/>
  <c r="M16" i="1"/>
  <c r="M8" i="1"/>
  <c r="M7" i="1"/>
  <c r="M5" i="1"/>
  <c r="N324" i="2"/>
  <c r="N263" i="2"/>
  <c r="N212" i="2"/>
  <c r="N363" i="2"/>
  <c r="N367" i="2"/>
  <c r="N426" i="2"/>
  <c r="N444" i="2"/>
  <c r="N230" i="2"/>
  <c r="N375" i="2"/>
  <c r="N309" i="2"/>
  <c r="N307" i="2"/>
  <c r="N376" i="2"/>
  <c r="N436" i="2"/>
  <c r="N443" i="2"/>
  <c r="N292" i="2"/>
  <c r="N339" i="2"/>
  <c r="N311" i="2"/>
  <c r="N290" i="2"/>
  <c r="N246" i="2"/>
  <c r="N364" i="2"/>
  <c r="N176" i="2"/>
  <c r="N343" i="2"/>
  <c r="N310" i="2"/>
  <c r="N277" i="2"/>
  <c r="N257" i="2"/>
  <c r="N253" i="2"/>
  <c r="N228" i="2"/>
  <c r="N365" i="2"/>
  <c r="N400" i="2"/>
  <c r="N437" i="2"/>
  <c r="N389" i="2"/>
  <c r="N250" i="2"/>
  <c r="M3" i="1"/>
  <c r="N373" i="2"/>
  <c r="N351" i="2"/>
  <c r="N281" i="2"/>
  <c r="N329" i="2"/>
  <c r="N279" i="2"/>
  <c r="N216" i="2"/>
  <c r="N195" i="2"/>
  <c r="N371" i="2"/>
  <c r="N431" i="2"/>
  <c r="N173" i="2"/>
  <c r="N254" i="2"/>
  <c r="N360" i="2"/>
  <c r="N438" i="2"/>
  <c r="N301" i="2"/>
  <c r="N260" i="2"/>
  <c r="N399" i="2"/>
  <c r="N327" i="2"/>
  <c r="N282" i="2"/>
  <c r="N237" i="2"/>
  <c r="N224" i="2"/>
  <c r="N206" i="2"/>
  <c r="N181" i="2"/>
  <c r="N222" i="2"/>
  <c r="N236" i="2"/>
  <c r="N242" i="2"/>
  <c r="N219" i="2"/>
  <c r="N401" i="2"/>
  <c r="N429" i="2"/>
  <c r="N405" i="2"/>
  <c r="N289" i="2"/>
  <c r="N193" i="2"/>
  <c r="N356" i="2"/>
  <c r="N442" i="2"/>
  <c r="N424" i="2"/>
  <c r="N433" i="2"/>
  <c r="N323" i="2"/>
  <c r="N432" i="2"/>
  <c r="N305" i="2"/>
  <c r="N288" i="2"/>
  <c r="N272" i="2"/>
  <c r="N240" i="2"/>
  <c r="N321" i="2"/>
  <c r="N284" i="2"/>
  <c r="N244" i="2"/>
  <c r="N378" i="2"/>
  <c r="N407" i="2"/>
  <c r="J114" i="1"/>
  <c r="M114" i="1" s="1"/>
  <c r="J113" i="1"/>
  <c r="M113" i="1" s="1"/>
  <c r="J112" i="1"/>
  <c r="M112" i="1" s="1"/>
  <c r="C19" i="9" l="1"/>
  <c r="D32" i="9"/>
  <c r="D4" i="7"/>
  <c r="F4" i="7" s="1"/>
  <c r="D31" i="9"/>
  <c r="E31" i="9" s="1"/>
  <c r="C18" i="9"/>
  <c r="C29" i="9"/>
  <c r="C15" i="9"/>
  <c r="C17" i="9"/>
  <c r="C21" i="9"/>
  <c r="D22" i="9"/>
  <c r="E22" i="9" s="1"/>
  <c r="D25" i="9"/>
  <c r="D28" i="9"/>
  <c r="E28" i="9" s="1"/>
  <c r="C30" i="9"/>
  <c r="D30" i="9"/>
  <c r="D6" i="7"/>
  <c r="F6" i="7" s="1"/>
  <c r="D15" i="9"/>
  <c r="D17" i="9"/>
  <c r="D5" i="7"/>
  <c r="F5" i="7" s="1"/>
  <c r="C14" i="9"/>
  <c r="C16" i="9"/>
  <c r="D21" i="9"/>
  <c r="D24" i="9"/>
  <c r="E24" i="9" s="1"/>
  <c r="D29" i="9"/>
  <c r="D26" i="9"/>
  <c r="E26" i="9" s="1"/>
  <c r="D16" i="9"/>
  <c r="D19" i="9"/>
  <c r="C25" i="9"/>
  <c r="C32" i="9"/>
  <c r="E8" i="7"/>
  <c r="D34" i="9"/>
  <c r="N312" i="2"/>
  <c r="D23" i="9" s="1"/>
  <c r="C23" i="9"/>
  <c r="N171" i="2"/>
  <c r="D14" i="9" s="1"/>
  <c r="N239" i="2"/>
  <c r="D18" i="9" s="1"/>
  <c r="J111" i="1"/>
  <c r="M111" i="1" s="1"/>
  <c r="J110" i="1"/>
  <c r="M110" i="1" s="1"/>
  <c r="J109" i="1"/>
  <c r="M109" i="1" s="1"/>
  <c r="J108" i="1"/>
  <c r="M108" i="1" s="1"/>
  <c r="J107" i="1"/>
  <c r="M107" i="1" s="1"/>
  <c r="J106" i="1"/>
  <c r="M106" i="1" s="1"/>
  <c r="J105" i="1"/>
  <c r="M105" i="1" s="1"/>
  <c r="J104" i="1"/>
  <c r="M104" i="1" s="1"/>
  <c r="J98" i="1"/>
  <c r="M98" i="1" s="1"/>
  <c r="J95" i="1"/>
  <c r="M95" i="1" s="1"/>
  <c r="J94" i="1"/>
  <c r="M94" i="1" s="1"/>
  <c r="J93" i="1"/>
  <c r="M93" i="1" s="1"/>
  <c r="J92" i="1"/>
  <c r="M92" i="1" s="1"/>
  <c r="J91" i="1"/>
  <c r="M91" i="1" s="1"/>
  <c r="J90" i="1"/>
  <c r="M90" i="1" s="1"/>
  <c r="J89" i="1"/>
  <c r="M89" i="1" s="1"/>
  <c r="J88" i="1"/>
  <c r="M88" i="1" s="1"/>
  <c r="J87" i="1"/>
  <c r="M87" i="1" s="1"/>
  <c r="J79" i="1"/>
  <c r="M79" i="1" s="1"/>
  <c r="J78" i="1"/>
  <c r="M78" i="1" s="1"/>
  <c r="J77" i="1"/>
  <c r="M77" i="1" s="1"/>
  <c r="J76" i="1"/>
  <c r="M76" i="1" s="1"/>
  <c r="J75" i="1"/>
  <c r="M75" i="1" s="1"/>
  <c r="J74" i="1"/>
  <c r="M74" i="1" s="1"/>
  <c r="J65" i="1"/>
  <c r="M65" i="1" s="1"/>
  <c r="J64" i="1"/>
  <c r="M64" i="1" s="1"/>
  <c r="J63" i="1"/>
  <c r="M63" i="1" s="1"/>
  <c r="J62" i="1"/>
  <c r="M62" i="1" s="1"/>
  <c r="J61" i="1"/>
  <c r="M61" i="1" s="1"/>
  <c r="J60" i="1"/>
  <c r="M60" i="1" s="1"/>
  <c r="J59" i="1"/>
  <c r="M59" i="1" s="1"/>
  <c r="J58" i="1"/>
  <c r="M58" i="1" s="1"/>
  <c r="J57" i="1"/>
  <c r="M57" i="1" s="1"/>
  <c r="J56" i="1"/>
  <c r="M56" i="1" s="1"/>
  <c r="J55" i="1"/>
  <c r="M55" i="1" s="1"/>
  <c r="J54" i="1"/>
  <c r="M54" i="1" s="1"/>
  <c r="J53" i="1"/>
  <c r="M53" i="1" s="1"/>
  <c r="J52" i="1"/>
  <c r="M52" i="1" s="1"/>
  <c r="J37" i="1"/>
  <c r="M37" i="1" s="1"/>
  <c r="J34" i="1"/>
  <c r="M34" i="1" s="1"/>
  <c r="J33" i="1"/>
  <c r="M33" i="1" s="1"/>
  <c r="J32" i="1"/>
  <c r="M32" i="1" s="1"/>
  <c r="J31" i="1"/>
  <c r="M31" i="1" s="1"/>
  <c r="J30" i="1"/>
  <c r="M30" i="1" s="1"/>
  <c r="J29" i="1"/>
  <c r="M29" i="1" s="1"/>
  <c r="J28" i="1"/>
  <c r="M28" i="1" s="1"/>
  <c r="J27" i="1"/>
  <c r="M27" i="1" s="1"/>
  <c r="J26" i="1"/>
  <c r="M26" i="1" s="1"/>
  <c r="J25" i="1"/>
  <c r="M25" i="1" s="1"/>
  <c r="J23" i="1"/>
  <c r="M23" i="1" s="1"/>
  <c r="J22" i="1"/>
  <c r="J36" i="1"/>
  <c r="M36" i="1" s="1"/>
  <c r="O3" i="1" s="1"/>
  <c r="J96" i="1"/>
  <c r="M96" i="1" s="1"/>
  <c r="O4" i="1" s="1"/>
  <c r="J97" i="1"/>
  <c r="M97" i="1" s="1"/>
  <c r="O5" i="1" s="1"/>
  <c r="J24" i="1"/>
  <c r="M24" i="1" s="1"/>
  <c r="O2" i="1" s="1"/>
  <c r="E19" i="9" l="1"/>
  <c r="E18" i="9"/>
  <c r="E29" i="9"/>
  <c r="E32" i="9"/>
  <c r="E17" i="9"/>
  <c r="E21" i="9"/>
  <c r="E15" i="9"/>
  <c r="E14" i="9"/>
  <c r="E16" i="9"/>
  <c r="E23" i="9"/>
  <c r="E25" i="9"/>
  <c r="E30" i="9"/>
  <c r="D63" i="9"/>
  <c r="E63" i="9" s="1"/>
  <c r="E34" i="9"/>
  <c r="E13" i="7"/>
  <c r="F8" i="7"/>
  <c r="M22" i="1"/>
  <c r="I157" i="2"/>
  <c r="N157" i="2" s="1"/>
  <c r="I158" i="2"/>
  <c r="N158" i="2" s="1"/>
  <c r="I160" i="2"/>
  <c r="N160" i="2" s="1"/>
  <c r="I161" i="2"/>
  <c r="N161" i="2" s="1"/>
  <c r="I163" i="2"/>
  <c r="N163" i="2" s="1"/>
  <c r="I156" i="2"/>
  <c r="G162" i="2"/>
  <c r="M162" i="2" s="1"/>
  <c r="G159" i="2"/>
  <c r="M159" i="2" s="1"/>
  <c r="G149" i="2"/>
  <c r="M149" i="2" s="1"/>
  <c r="I138" i="2"/>
  <c r="I139" i="2"/>
  <c r="N139" i="2" s="1"/>
  <c r="I140" i="2"/>
  <c r="N140" i="2" s="1"/>
  <c r="I141" i="2"/>
  <c r="N141" i="2" s="1"/>
  <c r="I142" i="2"/>
  <c r="N142" i="2" s="1"/>
  <c r="I143" i="2"/>
  <c r="N143" i="2" s="1"/>
  <c r="I144" i="2"/>
  <c r="N144" i="2" s="1"/>
  <c r="I145" i="2"/>
  <c r="N145" i="2" s="1"/>
  <c r="I146" i="2"/>
  <c r="N146" i="2" s="1"/>
  <c r="I147" i="2"/>
  <c r="N147" i="2" s="1"/>
  <c r="I148" i="2"/>
  <c r="N148" i="2" s="1"/>
  <c r="I149" i="2"/>
  <c r="I151" i="2"/>
  <c r="N151" i="2" s="1"/>
  <c r="I155" i="2"/>
  <c r="N155" i="2" s="1"/>
  <c r="G154" i="2"/>
  <c r="M154" i="2" s="1"/>
  <c r="G153" i="2"/>
  <c r="M153" i="2" s="1"/>
  <c r="G152" i="2"/>
  <c r="M152" i="2" s="1"/>
  <c r="I127" i="2"/>
  <c r="N127" i="2" s="1"/>
  <c r="I128" i="2"/>
  <c r="N128" i="2" s="1"/>
  <c r="I129" i="2"/>
  <c r="N129" i="2" s="1"/>
  <c r="I130" i="2"/>
  <c r="N130" i="2" s="1"/>
  <c r="I132" i="2"/>
  <c r="N132" i="2" s="1"/>
  <c r="I133" i="2"/>
  <c r="N133" i="2" s="1"/>
  <c r="I135" i="2"/>
  <c r="N135" i="2" s="1"/>
  <c r="I136" i="2"/>
  <c r="N136" i="2" s="1"/>
  <c r="I137" i="2"/>
  <c r="N137" i="2" s="1"/>
  <c r="I125" i="2"/>
  <c r="N125" i="2" s="1"/>
  <c r="I124" i="2"/>
  <c r="N124" i="2" s="1"/>
  <c r="I123" i="2"/>
  <c r="N123" i="2" s="1"/>
  <c r="I122" i="2"/>
  <c r="N122" i="2" s="1"/>
  <c r="I121" i="2"/>
  <c r="N121" i="2" s="1"/>
  <c r="I120" i="2"/>
  <c r="G134" i="2"/>
  <c r="M134" i="2" s="1"/>
  <c r="G131" i="2"/>
  <c r="M131" i="2" s="1"/>
  <c r="G126" i="2"/>
  <c r="M126" i="2" s="1"/>
  <c r="I108" i="2"/>
  <c r="N108" i="2" s="1"/>
  <c r="I109" i="2"/>
  <c r="N109" i="2" s="1"/>
  <c r="I110" i="2"/>
  <c r="N110" i="2" s="1"/>
  <c r="I111" i="2"/>
  <c r="N111" i="2" s="1"/>
  <c r="I112" i="2"/>
  <c r="N112" i="2" s="1"/>
  <c r="I113" i="2"/>
  <c r="N113" i="2" s="1"/>
  <c r="I114" i="2"/>
  <c r="N114" i="2" s="1"/>
  <c r="I115" i="2"/>
  <c r="N115" i="2" s="1"/>
  <c r="I116" i="2"/>
  <c r="N116" i="2" s="1"/>
  <c r="I118" i="2"/>
  <c r="N118" i="2" s="1"/>
  <c r="I119" i="2"/>
  <c r="N119" i="2" s="1"/>
  <c r="I106" i="2"/>
  <c r="N106" i="2" s="1"/>
  <c r="I105" i="2"/>
  <c r="G117" i="2"/>
  <c r="M117" i="2" s="1"/>
  <c r="G107" i="2"/>
  <c r="M107" i="2" s="1"/>
  <c r="I101" i="2"/>
  <c r="N101" i="2" s="1"/>
  <c r="I102" i="2"/>
  <c r="N102" i="2" s="1"/>
  <c r="I103" i="2"/>
  <c r="N103" i="2" s="1"/>
  <c r="I104" i="2"/>
  <c r="N104" i="2" s="1"/>
  <c r="I99" i="2"/>
  <c r="N99" i="2" s="1"/>
  <c r="I98" i="2"/>
  <c r="N98" i="2" s="1"/>
  <c r="G100" i="2"/>
  <c r="M100" i="2" s="1"/>
  <c r="I80" i="2"/>
  <c r="N80" i="2" s="1"/>
  <c r="I81" i="2"/>
  <c r="N81" i="2" s="1"/>
  <c r="I82" i="2"/>
  <c r="N82" i="2" s="1"/>
  <c r="I83" i="2"/>
  <c r="N83" i="2" s="1"/>
  <c r="I84" i="2"/>
  <c r="N84" i="2" s="1"/>
  <c r="I85" i="2"/>
  <c r="N85" i="2" s="1"/>
  <c r="I86" i="2"/>
  <c r="N86" i="2" s="1"/>
  <c r="I87" i="2"/>
  <c r="N87" i="2" s="1"/>
  <c r="I88" i="2"/>
  <c r="N88" i="2" s="1"/>
  <c r="I89" i="2"/>
  <c r="N89" i="2" s="1"/>
  <c r="I90" i="2"/>
  <c r="N90" i="2" s="1"/>
  <c r="I91" i="2"/>
  <c r="N91" i="2" s="1"/>
  <c r="I92" i="2"/>
  <c r="N92" i="2" s="1"/>
  <c r="I93" i="2"/>
  <c r="N93" i="2" s="1"/>
  <c r="I94" i="2"/>
  <c r="N94" i="2" s="1"/>
  <c r="I95" i="2"/>
  <c r="N95" i="2" s="1"/>
  <c r="I96" i="2"/>
  <c r="N96" i="2" s="1"/>
  <c r="I97" i="2"/>
  <c r="N97" i="2" s="1"/>
  <c r="I79" i="2"/>
  <c r="I78" i="2"/>
  <c r="N78" i="2" s="1"/>
  <c r="I77" i="2"/>
  <c r="N77" i="2" s="1"/>
  <c r="I76" i="2"/>
  <c r="N76" i="2" s="1"/>
  <c r="I75" i="2"/>
  <c r="N75" i="2" s="1"/>
  <c r="I74" i="2"/>
  <c r="N74" i="2" s="1"/>
  <c r="I73" i="2"/>
  <c r="N73" i="2" s="1"/>
  <c r="I72" i="2"/>
  <c r="N72" i="2" s="1"/>
  <c r="I71" i="2"/>
  <c r="N71" i="2" s="1"/>
  <c r="I67" i="2"/>
  <c r="N67" i="2" s="1"/>
  <c r="I69" i="2"/>
  <c r="N69" i="2" s="1"/>
  <c r="I70" i="2"/>
  <c r="N70" i="2" s="1"/>
  <c r="I65" i="2"/>
  <c r="N65" i="2" s="1"/>
  <c r="I64" i="2"/>
  <c r="N64" i="2" s="1"/>
  <c r="I63" i="2"/>
  <c r="N63" i="2" s="1"/>
  <c r="I62" i="2"/>
  <c r="N62" i="2" s="1"/>
  <c r="I61" i="2"/>
  <c r="N61" i="2" s="1"/>
  <c r="I60" i="2"/>
  <c r="N60" i="2" s="1"/>
  <c r="I59" i="2"/>
  <c r="N59" i="2" s="1"/>
  <c r="G68" i="2"/>
  <c r="M68" i="2" s="1"/>
  <c r="G66" i="2"/>
  <c r="M66" i="2" s="1"/>
  <c r="I58" i="2"/>
  <c r="I57" i="2"/>
  <c r="N57" i="2" s="1"/>
  <c r="G56" i="2"/>
  <c r="M56" i="2" s="1"/>
  <c r="I55" i="2"/>
  <c r="N55" i="2" s="1"/>
  <c r="I54" i="2"/>
  <c r="N54" i="2" s="1"/>
  <c r="I53" i="2"/>
  <c r="N53" i="2" s="1"/>
  <c r="I52" i="2"/>
  <c r="N52" i="2" s="1"/>
  <c r="I51" i="2"/>
  <c r="N51" i="2" s="1"/>
  <c r="I50" i="2"/>
  <c r="N50" i="2" s="1"/>
  <c r="I38" i="2"/>
  <c r="I39" i="2"/>
  <c r="N39" i="2" s="1"/>
  <c r="I40" i="2"/>
  <c r="N40" i="2" s="1"/>
  <c r="I41" i="2"/>
  <c r="N41" i="2" s="1"/>
  <c r="I42" i="2"/>
  <c r="N42" i="2" s="1"/>
  <c r="I43" i="2"/>
  <c r="N43" i="2" s="1"/>
  <c r="I44" i="2"/>
  <c r="N44" i="2" s="1"/>
  <c r="I45" i="2"/>
  <c r="N45" i="2" s="1"/>
  <c r="I46" i="2"/>
  <c r="N46" i="2" s="1"/>
  <c r="I47" i="2"/>
  <c r="N47" i="2" s="1"/>
  <c r="I48" i="2"/>
  <c r="N48" i="2" s="1"/>
  <c r="I49" i="2"/>
  <c r="N49" i="2" s="1"/>
  <c r="G28" i="2"/>
  <c r="I29" i="2"/>
  <c r="N29" i="2" s="1"/>
  <c r="I30" i="2"/>
  <c r="N30" i="2" s="1"/>
  <c r="I31" i="2"/>
  <c r="N31" i="2" s="1"/>
  <c r="I32" i="2"/>
  <c r="N32" i="2" s="1"/>
  <c r="I33" i="2"/>
  <c r="N33" i="2" s="1"/>
  <c r="I34" i="2"/>
  <c r="N34" i="2" s="1"/>
  <c r="I36" i="2"/>
  <c r="N36" i="2" s="1"/>
  <c r="I37" i="2"/>
  <c r="N37" i="2" s="1"/>
  <c r="I26" i="2"/>
  <c r="N26" i="2" s="1"/>
  <c r="I25" i="2"/>
  <c r="G35" i="2"/>
  <c r="M35" i="2" s="1"/>
  <c r="G27" i="2"/>
  <c r="M27" i="2" s="1"/>
  <c r="I3" i="2"/>
  <c r="N3" i="2" s="1"/>
  <c r="I5" i="2"/>
  <c r="N5" i="2" s="1"/>
  <c r="I6" i="2"/>
  <c r="N6" i="2" s="1"/>
  <c r="I7" i="2"/>
  <c r="N7" i="2" s="1"/>
  <c r="I8" i="2"/>
  <c r="N8" i="2" s="1"/>
  <c r="I9" i="2"/>
  <c r="I10" i="2"/>
  <c r="N10" i="2" s="1"/>
  <c r="I11" i="2"/>
  <c r="N11" i="2" s="1"/>
  <c r="I12" i="2"/>
  <c r="N12" i="2" s="1"/>
  <c r="I13" i="2"/>
  <c r="N13" i="2" s="1"/>
  <c r="I14" i="2"/>
  <c r="N14" i="2" s="1"/>
  <c r="I15" i="2"/>
  <c r="N15" i="2" s="1"/>
  <c r="I16" i="2"/>
  <c r="I17" i="2"/>
  <c r="N17" i="2" s="1"/>
  <c r="I18" i="2"/>
  <c r="N18" i="2" s="1"/>
  <c r="I19" i="2"/>
  <c r="N19" i="2" s="1"/>
  <c r="I20" i="2"/>
  <c r="N20" i="2" s="1"/>
  <c r="I21" i="2"/>
  <c r="N21" i="2" s="1"/>
  <c r="I22" i="2"/>
  <c r="N22" i="2" s="1"/>
  <c r="I23" i="2"/>
  <c r="N23" i="2" s="1"/>
  <c r="I24" i="2"/>
  <c r="N24" i="2" s="1"/>
  <c r="I2" i="2"/>
  <c r="G4" i="2"/>
  <c r="M4" i="2" s="1"/>
  <c r="N9" i="2" l="1"/>
  <c r="E3" i="8"/>
  <c r="N25" i="2"/>
  <c r="N38" i="2"/>
  <c r="N79" i="2"/>
  <c r="N105" i="2"/>
  <c r="N120" i="2"/>
  <c r="N138" i="2"/>
  <c r="N156" i="2"/>
  <c r="J3" i="7"/>
  <c r="K3" i="7" s="1"/>
  <c r="F13" i="7"/>
  <c r="N16" i="2"/>
  <c r="I4" i="2"/>
  <c r="N4" i="2" s="1"/>
  <c r="I35" i="2"/>
  <c r="N35" i="2" s="1"/>
  <c r="I159" i="2"/>
  <c r="N159" i="2" s="1"/>
  <c r="N149" i="2"/>
  <c r="I66" i="2"/>
  <c r="N66" i="2" s="1"/>
  <c r="I131" i="2"/>
  <c r="N131" i="2" s="1"/>
  <c r="I134" i="2"/>
  <c r="N134" i="2" s="1"/>
  <c r="I152" i="2"/>
  <c r="N152" i="2" s="1"/>
  <c r="I28" i="2"/>
  <c r="M28" i="2"/>
  <c r="I68" i="2"/>
  <c r="N68" i="2" s="1"/>
  <c r="I117" i="2"/>
  <c r="N117" i="2" s="1"/>
  <c r="I154" i="2"/>
  <c r="N154" i="2" s="1"/>
  <c r="N2" i="2"/>
  <c r="I27" i="2"/>
  <c r="N27" i="2" s="1"/>
  <c r="I56" i="2"/>
  <c r="N56" i="2" s="1"/>
  <c r="I100" i="2"/>
  <c r="N100" i="2" s="1"/>
  <c r="I153" i="2"/>
  <c r="N153" i="2" s="1"/>
  <c r="I162" i="2"/>
  <c r="N162" i="2" s="1"/>
  <c r="I107" i="2"/>
  <c r="N107" i="2" s="1"/>
  <c r="I126" i="2"/>
  <c r="N126" i="2" s="1"/>
  <c r="D7" i="9" l="1"/>
  <c r="F3" i="8"/>
  <c r="D2" i="7"/>
  <c r="F2" i="7" s="1"/>
  <c r="D11" i="9"/>
  <c r="D9" i="9"/>
  <c r="D3" i="7"/>
  <c r="F3" i="7" s="1"/>
  <c r="C12" i="9"/>
  <c r="C10" i="9"/>
  <c r="C8" i="9"/>
  <c r="C5" i="9"/>
  <c r="C3" i="9"/>
  <c r="D12" i="9"/>
  <c r="D10" i="9"/>
  <c r="D8" i="9"/>
  <c r="D5" i="9"/>
  <c r="D3" i="9"/>
  <c r="C11" i="9"/>
  <c r="C9" i="9"/>
  <c r="C7" i="9"/>
  <c r="C4" i="9"/>
  <c r="N28" i="2"/>
  <c r="D4" i="9" s="1"/>
  <c r="I2307" i="2"/>
  <c r="E7" i="9" l="1"/>
  <c r="E8" i="9"/>
  <c r="E3" i="9"/>
  <c r="E10" i="9"/>
  <c r="D7" i="7"/>
  <c r="F7" i="7" s="1"/>
  <c r="E12" i="9"/>
  <c r="E4" i="9"/>
  <c r="D33" i="9"/>
  <c r="E9" i="9"/>
  <c r="E5" i="9"/>
  <c r="C33" i="9"/>
  <c r="E11" i="9"/>
  <c r="C204" i="9"/>
  <c r="C221" i="9" s="1"/>
  <c r="D40" i="7"/>
  <c r="D43" i="7" s="1"/>
  <c r="I8" i="7" s="1"/>
  <c r="N2307" i="2"/>
  <c r="I2" i="7" l="1"/>
  <c r="K2" i="7" s="1"/>
  <c r="E33" i="9"/>
  <c r="D204" i="9"/>
  <c r="E40" i="7"/>
  <c r="F40" i="7" l="1"/>
  <c r="E43" i="7"/>
  <c r="E204" i="9"/>
  <c r="D221" i="9"/>
  <c r="E221" i="9" s="1"/>
  <c r="J8" i="7" l="1"/>
  <c r="K8" i="7" s="1"/>
  <c r="F43" i="7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ercial Coronado.xlsx!Ventas" type="102" refreshedVersion="6" minRefreshableVersion="5">
    <extLst>
      <ext xmlns:x15="http://schemas.microsoft.com/office/spreadsheetml/2010/11/main" uri="{DE250136-89BD-433C-8126-D09CA5730AF9}">
        <x15:connection id="Ventas" autoDelete="1">
          <x15:rangePr sourceName="_xlcn.WorksheetConnection_ComercialCoronado.xlsxVentas"/>
        </x15:connection>
      </ext>
    </extLst>
  </connection>
  <connection id="3" name="WorksheetConnection_Comercial Coronado.xlsx!Ventas2" type="102" refreshedVersion="6" minRefreshableVersion="5">
    <extLst>
      <ext xmlns:x15="http://schemas.microsoft.com/office/spreadsheetml/2010/11/main" uri="{DE250136-89BD-433C-8126-D09CA5730AF9}">
        <x15:connection id="Ventas2">
          <x15:rangePr sourceName="_xlcn.WorksheetConnection_ComercialCoronado.xlsxVentas2"/>
        </x15:connection>
      </ext>
    </extLst>
  </connection>
</connections>
</file>

<file path=xl/sharedStrings.xml><?xml version="1.0" encoding="utf-8"?>
<sst xmlns="http://schemas.openxmlformats.org/spreadsheetml/2006/main" count="18319" uniqueCount="923">
  <si>
    <t>Item</t>
  </si>
  <si>
    <t xml:space="preserve">Fecha </t>
  </si>
  <si>
    <t>Descripcion</t>
  </si>
  <si>
    <t>Cantidad</t>
  </si>
  <si>
    <t>Precio</t>
  </si>
  <si>
    <t>Total</t>
  </si>
  <si>
    <t>Distribuidor</t>
  </si>
  <si>
    <t>Mes</t>
  </si>
  <si>
    <t>Enero</t>
  </si>
  <si>
    <t>Precio de Venta</t>
  </si>
  <si>
    <t>Total de Venta</t>
  </si>
  <si>
    <t>Utilidad</t>
  </si>
  <si>
    <t>Tipo</t>
  </si>
  <si>
    <t>Sandra</t>
  </si>
  <si>
    <t>Marsella Vison</t>
  </si>
  <si>
    <t>Ceramica</t>
  </si>
  <si>
    <t>Cairo Marron</t>
  </si>
  <si>
    <t>Amazonas Beige</t>
  </si>
  <si>
    <t>Envio</t>
  </si>
  <si>
    <t>Belen Marron</t>
  </si>
  <si>
    <t>Carrara Blanco</t>
  </si>
  <si>
    <t>Mosaico Azul</t>
  </si>
  <si>
    <t>Marsella Blanco</t>
  </si>
  <si>
    <t>Otro</t>
  </si>
  <si>
    <t>Plasterbond</t>
  </si>
  <si>
    <t>Porcelana</t>
  </si>
  <si>
    <t>Porcelanato</t>
  </si>
  <si>
    <t>Sinsa</t>
  </si>
  <si>
    <t>Babilonia Blanco</t>
  </si>
  <si>
    <t>Madera Dinizia</t>
  </si>
  <si>
    <t>Kit Inodoro</t>
  </si>
  <si>
    <t>Sunset Beige</t>
  </si>
  <si>
    <t>Sunset Azul</t>
  </si>
  <si>
    <t>Falcon Hueso</t>
  </si>
  <si>
    <t>Gama Azul</t>
  </si>
  <si>
    <t>Beta Beige</t>
  </si>
  <si>
    <t>Precio de Compra</t>
  </si>
  <si>
    <t>Total de Compra</t>
  </si>
  <si>
    <t>Bond Plus</t>
  </si>
  <si>
    <t>Calpe Blanco</t>
  </si>
  <si>
    <t>Porcelana Verde</t>
  </si>
  <si>
    <t>Llave de Lavamano</t>
  </si>
  <si>
    <t>Llave de Pantry</t>
  </si>
  <si>
    <t>Acido Muriatico</t>
  </si>
  <si>
    <t>Separadores</t>
  </si>
  <si>
    <t>Sorrento Marron 2</t>
  </si>
  <si>
    <t>Asiento de Inodoro</t>
  </si>
  <si>
    <t>Porcelanato Beige</t>
  </si>
  <si>
    <t>Porcelana Blanca</t>
  </si>
  <si>
    <t>Factura</t>
  </si>
  <si>
    <t>Cairo verde</t>
  </si>
  <si>
    <t>Bolsa de Separadores</t>
  </si>
  <si>
    <t>Camaru</t>
  </si>
  <si>
    <t>Porcelana azul</t>
  </si>
  <si>
    <t>Madera Acacia</t>
  </si>
  <si>
    <t>Azulejos</t>
  </si>
  <si>
    <t>Bond</t>
  </si>
  <si>
    <t>Blanco</t>
  </si>
  <si>
    <t>Beige</t>
  </si>
  <si>
    <t>Guanajuato rojo</t>
  </si>
  <si>
    <t>Terracota</t>
  </si>
  <si>
    <t>Grafito</t>
  </si>
  <si>
    <t>Fachaleta Creta</t>
  </si>
  <si>
    <t>Sherbet Blanco</t>
  </si>
  <si>
    <t>Fachaleta</t>
  </si>
  <si>
    <t>otro</t>
  </si>
  <si>
    <t>Costrec</t>
  </si>
  <si>
    <t>Ojo de Buey Led</t>
  </si>
  <si>
    <t>Iluminación</t>
  </si>
  <si>
    <t>Inodoro Cato Blanco</t>
  </si>
  <si>
    <t>Inodoro</t>
  </si>
  <si>
    <t>Celeste</t>
  </si>
  <si>
    <t>Negro</t>
  </si>
  <si>
    <t>Listelo de Cocina Rosado</t>
  </si>
  <si>
    <t>Accesorios</t>
  </si>
  <si>
    <t>Listelo</t>
  </si>
  <si>
    <t>Pietra Marron</t>
  </si>
  <si>
    <t>Separadores de 2mm</t>
  </si>
  <si>
    <t>Pantry</t>
  </si>
  <si>
    <t>Pana de Pantry Tramontina</t>
  </si>
  <si>
    <t>Madera Cedro</t>
  </si>
  <si>
    <t>Listelos de Frutas</t>
  </si>
  <si>
    <t>Creta Marron</t>
  </si>
  <si>
    <t>Arena</t>
  </si>
  <si>
    <t>Centro de Lavamano</t>
  </si>
  <si>
    <t>Lavamano</t>
  </si>
  <si>
    <t>Lavamano Blanco Aqua</t>
  </si>
  <si>
    <t>Gabinete</t>
  </si>
  <si>
    <t>Baleares Rosa Liso</t>
  </si>
  <si>
    <t>Marsella Visón</t>
  </si>
  <si>
    <t>Rejilla Griven</t>
  </si>
  <si>
    <t>Rejilla</t>
  </si>
  <si>
    <t>Baño</t>
  </si>
  <si>
    <t>porcelana</t>
  </si>
  <si>
    <t>Lisboa Verde</t>
  </si>
  <si>
    <t>Sunset Verde</t>
  </si>
  <si>
    <t>Madera Abedul</t>
  </si>
  <si>
    <t>Brasilia Azul</t>
  </si>
  <si>
    <t>Cortina Azul</t>
  </si>
  <si>
    <t>Halcón</t>
  </si>
  <si>
    <t>Porcelanato Beige Liso</t>
  </si>
  <si>
    <t>Porcelanato Negro Brillante</t>
  </si>
  <si>
    <t>Bruselas Beige Baño</t>
  </si>
  <si>
    <t>Bruselas Beige Liso</t>
  </si>
  <si>
    <t>Belen Marrón</t>
  </si>
  <si>
    <t>Creta marrón</t>
  </si>
  <si>
    <t>Sorrento Marrón 2</t>
  </si>
  <si>
    <t>Lisboa Verde Liso</t>
  </si>
  <si>
    <t>Altea Blanco</t>
  </si>
  <si>
    <t>Creta Gris</t>
  </si>
  <si>
    <t>Palestina Negro</t>
  </si>
  <si>
    <t>Orlean Blanco</t>
  </si>
  <si>
    <t>Bruselas beige Cocina</t>
  </si>
  <si>
    <t>Brasilia Azul Liso</t>
  </si>
  <si>
    <t>Lisboa Beige Liso</t>
  </si>
  <si>
    <t>Brasilia Azul Decorado</t>
  </si>
  <si>
    <t>Lisboa Verde 1</t>
  </si>
  <si>
    <t>Lisboa Beige 1</t>
  </si>
  <si>
    <t>Ducha</t>
  </si>
  <si>
    <t>Cantera Beige</t>
  </si>
  <si>
    <t>Aramis Cobalto</t>
  </si>
  <si>
    <t>Trampa centro</t>
  </si>
  <si>
    <t>Inodoro Dream Blanco</t>
  </si>
  <si>
    <t>Pavia Marron</t>
  </si>
  <si>
    <t>Centro de Pantry</t>
  </si>
  <si>
    <t>Llave doble griven</t>
  </si>
  <si>
    <t>Ducha Griven</t>
  </si>
  <si>
    <t>Naranja</t>
  </si>
  <si>
    <t>Crema</t>
  </si>
  <si>
    <t>Cairo Verde</t>
  </si>
  <si>
    <t>Tabaco</t>
  </si>
  <si>
    <t>Florencia Beige</t>
  </si>
  <si>
    <t>Cadiz Gris</t>
  </si>
  <si>
    <t>Separadores de 4mm</t>
  </si>
  <si>
    <t>Bruselas Beige Cocina</t>
  </si>
  <si>
    <t>Calpe Visón</t>
  </si>
  <si>
    <t>Llave de Ducha</t>
  </si>
  <si>
    <t>Azul</t>
  </si>
  <si>
    <t>Separadores de 3mm</t>
  </si>
  <si>
    <t>Tabaco 3k</t>
  </si>
  <si>
    <t>Inodoro Ecoline Blanco</t>
  </si>
  <si>
    <t>Llave y trampa y centro</t>
  </si>
  <si>
    <t>Clavel</t>
  </si>
  <si>
    <t>Cortina</t>
  </si>
  <si>
    <t>Porcelanato Negro</t>
  </si>
  <si>
    <t>Naranja 3k</t>
  </si>
  <si>
    <t>Baleares Azul 1</t>
  </si>
  <si>
    <t>Gris Claro</t>
  </si>
  <si>
    <t>Ladrillo</t>
  </si>
  <si>
    <t>Bruselas Beige</t>
  </si>
  <si>
    <t>Rodapie Gris</t>
  </si>
  <si>
    <t>Inodoro Ecoline Candle Ligth</t>
  </si>
  <si>
    <t>Manguera Coflex</t>
  </si>
  <si>
    <t>Omega Madera</t>
  </si>
  <si>
    <t>Listelos de Cocina</t>
  </si>
  <si>
    <t>Lisboa Beige</t>
  </si>
  <si>
    <t>Verde</t>
  </si>
  <si>
    <t>Lavamano Rojo Vino c/ped</t>
  </si>
  <si>
    <t>Inodoro Rojo Vino</t>
  </si>
  <si>
    <t>Centro y llave y trampa</t>
  </si>
  <si>
    <t>Lavamano Blanco c/ped</t>
  </si>
  <si>
    <t>Febrero</t>
  </si>
  <si>
    <t>Diciembre</t>
  </si>
  <si>
    <t>Comasa</t>
  </si>
  <si>
    <t>Inppasa</t>
  </si>
  <si>
    <t>Martinez</t>
  </si>
  <si>
    <t>Invercopa</t>
  </si>
  <si>
    <t>Dispiasa</t>
  </si>
  <si>
    <t>Maderas Klabe</t>
  </si>
  <si>
    <t>Ladrillo 3k</t>
  </si>
  <si>
    <t>Platinum 3k</t>
  </si>
  <si>
    <t>Bond Plus Drytect</t>
  </si>
  <si>
    <t>Beige 3k</t>
  </si>
  <si>
    <t>Blanco 3k</t>
  </si>
  <si>
    <t>Rosado 3k</t>
  </si>
  <si>
    <t>Listelo Ronia Cocina</t>
  </si>
  <si>
    <t>Bond Porcelanato Drytec</t>
  </si>
  <si>
    <t>Llave de Lavamano Monomando</t>
  </si>
  <si>
    <t>Llave de pantry Copa Cromada</t>
  </si>
  <si>
    <t>Separador 2mm</t>
  </si>
  <si>
    <t>Separador 5mm</t>
  </si>
  <si>
    <t>Centro Lavamano Griven</t>
  </si>
  <si>
    <t>Cortina de baño colibri</t>
  </si>
  <si>
    <t>Llave pantry Manecilla Griven</t>
  </si>
  <si>
    <t>Llave ducha acrilica corta</t>
  </si>
  <si>
    <t>Llave ducha sencilla cruz</t>
  </si>
  <si>
    <t>Aginsa</t>
  </si>
  <si>
    <t>Inv. Rodriguez</t>
  </si>
  <si>
    <t>Acido muriatico</t>
  </si>
  <si>
    <t>Acido muriatico gal</t>
  </si>
  <si>
    <t>Botiquin</t>
  </si>
  <si>
    <t>Inodoro Ecoline Verde</t>
  </si>
  <si>
    <t>Inodoro Ecoline Day Dream</t>
  </si>
  <si>
    <t>Virgen de Concepción</t>
  </si>
  <si>
    <t>Inodoro Ecoline Azul</t>
  </si>
  <si>
    <t>Pana de Pantry Izq</t>
  </si>
  <si>
    <t>Pana de Pantry Derecha</t>
  </si>
  <si>
    <t>Llave de Lavamano Cromada</t>
  </si>
  <si>
    <t>Silco</t>
  </si>
  <si>
    <t>Ventas</t>
  </si>
  <si>
    <t>Lisboa  Verde</t>
  </si>
  <si>
    <t>Antideslizante</t>
  </si>
  <si>
    <t>Panel de Luz</t>
  </si>
  <si>
    <t>Blanca 3k</t>
  </si>
  <si>
    <t xml:space="preserve">Ontario </t>
  </si>
  <si>
    <t>Tablilla</t>
  </si>
  <si>
    <t>Polines</t>
  </si>
  <si>
    <t>Pana de Pantry</t>
  </si>
  <si>
    <t>Bujia led</t>
  </si>
  <si>
    <t>Ceramica Beige</t>
  </si>
  <si>
    <t>Kit de Inodoro Cato</t>
  </si>
  <si>
    <t>Ares Beige</t>
  </si>
  <si>
    <t>Ceramica en Avería</t>
  </si>
  <si>
    <t>Llave de Pantry Plastica</t>
  </si>
  <si>
    <t>Listelo Ronia</t>
  </si>
  <si>
    <t>Esponja</t>
  </si>
  <si>
    <t>Lavamano Aqua Blanco</t>
  </si>
  <si>
    <t>Llave de Pantry Griven</t>
  </si>
  <si>
    <t>Platino 3k</t>
  </si>
  <si>
    <t>Saveiro Azul</t>
  </si>
  <si>
    <t>Llave de Inodoro</t>
  </si>
  <si>
    <t>Lavamano Verde c/ pedestal</t>
  </si>
  <si>
    <t>Kit de Baño</t>
  </si>
  <si>
    <t>Listelo Pacifico Digital</t>
  </si>
  <si>
    <t>Porcelana 3k</t>
  </si>
  <si>
    <t>Rojo Vino</t>
  </si>
  <si>
    <t>Separadores de 5mm</t>
  </si>
  <si>
    <t>Inodoro Aqua Blanco</t>
  </si>
  <si>
    <t>Lisboa Azul</t>
  </si>
  <si>
    <t>Pana de Pantry 2p2e</t>
  </si>
  <si>
    <t>Kalipso Digital</t>
  </si>
  <si>
    <t>Listelo Mila Cocina</t>
  </si>
  <si>
    <t>Pacifico Digital</t>
  </si>
  <si>
    <t>Ontario</t>
  </si>
  <si>
    <t>Oaxaca Rojo</t>
  </si>
  <si>
    <t>Cairo Marrón</t>
  </si>
  <si>
    <t>Diamond Plus</t>
  </si>
  <si>
    <t>Boniche</t>
  </si>
  <si>
    <t>Cinta Antideslizante</t>
  </si>
  <si>
    <t>Asiento ETS</t>
  </si>
  <si>
    <t>Lavamano Aqua Blanco c/pedestal</t>
  </si>
  <si>
    <t>Porta Toalla Griven</t>
  </si>
  <si>
    <t>Trampa para Lavamano</t>
  </si>
  <si>
    <t>Centro para Lavamano</t>
  </si>
  <si>
    <t>Llave de pase doble</t>
  </si>
  <si>
    <t>Trampa de pantry Flexible</t>
  </si>
  <si>
    <t>Listelos de Cocina Ronia</t>
  </si>
  <si>
    <t>Baleares Azul</t>
  </si>
  <si>
    <t>Madera Klabe</t>
  </si>
  <si>
    <t>Llave de Lavamano/centro/trampa</t>
  </si>
  <si>
    <t>Tubo de Cortina</t>
  </si>
  <si>
    <t>Accesorios de Baño</t>
  </si>
  <si>
    <t>Sunset azul</t>
  </si>
  <si>
    <t>Pedestal Aqua Blanco</t>
  </si>
  <si>
    <t>Lisboa Azul 1</t>
  </si>
  <si>
    <t>Brasilia Azul 1</t>
  </si>
  <si>
    <t xml:space="preserve">Lisboa Beige </t>
  </si>
  <si>
    <t>Calpea Blanco</t>
  </si>
  <si>
    <t>Accesorios de baño</t>
  </si>
  <si>
    <t>Pana de Pantry Bk</t>
  </si>
  <si>
    <t>Ducha de Telefono</t>
  </si>
  <si>
    <t>Canela del Sur</t>
  </si>
  <si>
    <t>Listelos Pacifico Digital</t>
  </si>
  <si>
    <t xml:space="preserve">Bond Plus </t>
  </si>
  <si>
    <t>Porcelanato 45x45</t>
  </si>
  <si>
    <t>Kit de Inodoro Securimax</t>
  </si>
  <si>
    <t>Llave + Centro + Trampa</t>
  </si>
  <si>
    <t>Drytec Bond Plus</t>
  </si>
  <si>
    <t>Reajuste</t>
  </si>
  <si>
    <t>Inodoro Ecoline Rojo Vino</t>
  </si>
  <si>
    <t>Orlean Marron</t>
  </si>
  <si>
    <t>Cairo Azul</t>
  </si>
  <si>
    <t>Dubai Beige</t>
  </si>
  <si>
    <t>Centro + Trampa</t>
  </si>
  <si>
    <t>Listelo de Cocina Mila</t>
  </si>
  <si>
    <t>Tubo de Cortina Beige</t>
  </si>
  <si>
    <t>Marzo</t>
  </si>
  <si>
    <t>Orlean Marrón</t>
  </si>
  <si>
    <t>Bondex Porcelanato Drytec</t>
  </si>
  <si>
    <t>Combo Ecoline Rojo</t>
  </si>
  <si>
    <t>Pedestal Ecoline Rojo</t>
  </si>
  <si>
    <t>Pana de Pantry al centro Tramontina</t>
  </si>
  <si>
    <t>Asiento Ecoline Blanco</t>
  </si>
  <si>
    <t>Lavamano Ecoline Candle light</t>
  </si>
  <si>
    <t>Inodoro Ecoline Rojo</t>
  </si>
  <si>
    <t>Lisboa Azul Decorado</t>
  </si>
  <si>
    <t>Asiento Ecoline Verde</t>
  </si>
  <si>
    <t>Asiento Ecoline Azul</t>
  </si>
  <si>
    <t>Porcelana Gris Claro Intaco</t>
  </si>
  <si>
    <t>Llave de pase Triple</t>
  </si>
  <si>
    <t>Asiento de Inodoro Ecoline</t>
  </si>
  <si>
    <t>Juego de tornillos</t>
  </si>
  <si>
    <t>Calzada Gris</t>
  </si>
  <si>
    <t>Llave de Ducha Griven</t>
  </si>
  <si>
    <t>Ducha de plato Griven</t>
  </si>
  <si>
    <t>Pietra Gris</t>
  </si>
  <si>
    <t>Aurelia</t>
  </si>
  <si>
    <t>Antartico Alpes</t>
  </si>
  <si>
    <t>Combo Tulipan Blanco Cato</t>
  </si>
  <si>
    <t>Manguera Abasto Coflex</t>
  </si>
  <si>
    <t>Brasilia Marrón Decorado</t>
  </si>
  <si>
    <t>Brasilia Marrón Liso</t>
  </si>
  <si>
    <t>Asiento elongado Blanco</t>
  </si>
  <si>
    <t>Bolonia</t>
  </si>
  <si>
    <t>Inodoro Tulipan Blanco</t>
  </si>
  <si>
    <t>Blanca</t>
  </si>
  <si>
    <t>Asiento de Inodoro Ets</t>
  </si>
  <si>
    <t>% Tendencia</t>
  </si>
  <si>
    <t>Semanas</t>
  </si>
  <si>
    <t>Lacewood</t>
  </si>
  <si>
    <t>Tablilla Beige</t>
  </si>
  <si>
    <t>Llave monocomando + centro + trampa</t>
  </si>
  <si>
    <t>Florencia Marrón</t>
  </si>
  <si>
    <t>Brasilia Marrón</t>
  </si>
  <si>
    <t>Trama flexible lavamano</t>
  </si>
  <si>
    <t>Azul 3k</t>
  </si>
  <si>
    <t>Diablo Rojo</t>
  </si>
  <si>
    <t>Ojo de Buey Led 18w</t>
  </si>
  <si>
    <t>Bruselas Beige Decorado Baño</t>
  </si>
  <si>
    <t>Abril</t>
  </si>
  <si>
    <t>Madera Lacewood</t>
  </si>
  <si>
    <t>Azul marino 3k</t>
  </si>
  <si>
    <t>Lampara Led 9w</t>
  </si>
  <si>
    <t>Lampara Led 12w</t>
  </si>
  <si>
    <t xml:space="preserve">Pana de Pantry </t>
  </si>
  <si>
    <t>Kit de Inodoro Segurimax</t>
  </si>
  <si>
    <t>Llave de pase recta</t>
  </si>
  <si>
    <t>Llave de Lavamano metal larga</t>
  </si>
  <si>
    <t>Llave de lavamano doble palanca</t>
  </si>
  <si>
    <t>Trampa de Lavamano</t>
  </si>
  <si>
    <t>Trampa universal</t>
  </si>
  <si>
    <t>Gris 3k</t>
  </si>
  <si>
    <t xml:space="preserve">Bujia </t>
  </si>
  <si>
    <t>Bond plus</t>
  </si>
  <si>
    <t>Bujia Led 3w</t>
  </si>
  <si>
    <t>Bujia 8w</t>
  </si>
  <si>
    <t>Mayo</t>
  </si>
  <si>
    <t>Gris claro</t>
  </si>
  <si>
    <t xml:space="preserve">Llave de pase </t>
  </si>
  <si>
    <t>Llave de pase</t>
  </si>
  <si>
    <t>Asiento de Inodoro Blanco</t>
  </si>
  <si>
    <t>Llave de pase 3 vias</t>
  </si>
  <si>
    <t>Ducha Cuadrada Griven</t>
  </si>
  <si>
    <t>Bahia Marrón</t>
  </si>
  <si>
    <t>Avería</t>
  </si>
  <si>
    <t>Ceramica Antideslizante</t>
  </si>
  <si>
    <t>Janeiro Marrón</t>
  </si>
  <si>
    <t>Junio</t>
  </si>
  <si>
    <t>Julio</t>
  </si>
  <si>
    <t>Agosto</t>
  </si>
  <si>
    <t>Septiembre</t>
  </si>
  <si>
    <t>Octubre</t>
  </si>
  <si>
    <t>Noviembre</t>
  </si>
  <si>
    <t>Año 2020</t>
  </si>
  <si>
    <t>Cortina Beige</t>
  </si>
  <si>
    <t>Llave de lavamano</t>
  </si>
  <si>
    <t>Natal Azul</t>
  </si>
  <si>
    <t>Natal Marrón</t>
  </si>
  <si>
    <t>Guanajuato Rojo</t>
  </si>
  <si>
    <t>Jacaranda Caoba</t>
  </si>
  <si>
    <t>Pana de pantry</t>
  </si>
  <si>
    <t>Kit de Inodoro</t>
  </si>
  <si>
    <t>Llave doble Pantry</t>
  </si>
  <si>
    <t>Rejilla redonda griven</t>
  </si>
  <si>
    <t>Repemax</t>
  </si>
  <si>
    <t>Smart Grafito</t>
  </si>
  <si>
    <t>Teka</t>
  </si>
  <si>
    <t>Fresno</t>
  </si>
  <si>
    <t>Sydney</t>
  </si>
  <si>
    <t>Bali Caoba</t>
  </si>
  <si>
    <t>Aveiro Beige liso</t>
  </si>
  <si>
    <t>Aveiro Beige 1</t>
  </si>
  <si>
    <t>Palmira Beige liso</t>
  </si>
  <si>
    <t>Palmira Beige 1</t>
  </si>
  <si>
    <t>Baleares Azul liso</t>
  </si>
  <si>
    <t>Lavamano Ecoline Rojo</t>
  </si>
  <si>
    <t>Pana Pantry Tramontina</t>
  </si>
  <si>
    <t>Pedestal Ecoline Candle ligth</t>
  </si>
  <si>
    <t>Brasilia Verde</t>
  </si>
  <si>
    <t>Trampa de lavamano Flexible</t>
  </si>
  <si>
    <t>Kit de baño</t>
  </si>
  <si>
    <t>Aveiro Beige</t>
  </si>
  <si>
    <t>4mm</t>
  </si>
  <si>
    <t>Chocolate</t>
  </si>
  <si>
    <t>3mm</t>
  </si>
  <si>
    <t>Michoacan</t>
  </si>
  <si>
    <t>Panel de luz 12w</t>
  </si>
  <si>
    <t>5mm</t>
  </si>
  <si>
    <t>Madera lacewood</t>
  </si>
  <si>
    <t>Bujia Led C28p</t>
  </si>
  <si>
    <t>Maya Bond Plus</t>
  </si>
  <si>
    <t>Zacatepec Azul</t>
  </si>
  <si>
    <t>Porcelanato blanco</t>
  </si>
  <si>
    <t>8w Bujia Led</t>
  </si>
  <si>
    <t>Padre</t>
  </si>
  <si>
    <t>Magaña</t>
  </si>
  <si>
    <t>Ype 45</t>
  </si>
  <si>
    <t>Zacatepec Marrón</t>
  </si>
  <si>
    <t>Nova Blanco</t>
  </si>
  <si>
    <t>Palmira Beige</t>
  </si>
  <si>
    <t>Espejo</t>
  </si>
  <si>
    <t>Nogal Oscuro</t>
  </si>
  <si>
    <t>Bujia</t>
  </si>
  <si>
    <t>Bujia Led 9w</t>
  </si>
  <si>
    <t>Bujia led 18w</t>
  </si>
  <si>
    <t>Ducha Hexagonal Griven</t>
  </si>
  <si>
    <t>Lavamano Ecoline Candle Ligth</t>
  </si>
  <si>
    <t>baño</t>
  </si>
  <si>
    <t>Romano Beige</t>
  </si>
  <si>
    <t>Llave Triple</t>
  </si>
  <si>
    <t>Tigris</t>
  </si>
  <si>
    <t>Tamesis Beige</t>
  </si>
  <si>
    <t>2mm</t>
  </si>
  <si>
    <t>Lavamano Plástico</t>
  </si>
  <si>
    <t>Mosaico Verde</t>
  </si>
  <si>
    <t>Rodas IL</t>
  </si>
  <si>
    <t>722 Marrón</t>
  </si>
  <si>
    <t>Orleans Blanco</t>
  </si>
  <si>
    <t>Oporto Blanco</t>
  </si>
  <si>
    <t>Oporto Verde</t>
  </si>
  <si>
    <t>Inodoro Samboro Blanco</t>
  </si>
  <si>
    <t>Alaska Blanco</t>
  </si>
  <si>
    <t>722 Azul 1</t>
  </si>
  <si>
    <t>722 Azul</t>
  </si>
  <si>
    <t>Rio Gris Granilla</t>
  </si>
  <si>
    <t>Natal Verde</t>
  </si>
  <si>
    <t>Nogal 45 Oscuro</t>
  </si>
  <si>
    <t>Piso 722 Azul</t>
  </si>
  <si>
    <t>Pana China de Pantry Doble</t>
  </si>
  <si>
    <t>Tigris Beige</t>
  </si>
  <si>
    <t>Primavera Azul</t>
  </si>
  <si>
    <t xml:space="preserve">Romano Crema </t>
  </si>
  <si>
    <t>Romano Crema 1</t>
  </si>
  <si>
    <t>722 Marrón 1</t>
  </si>
  <si>
    <t>Romano Crema</t>
  </si>
  <si>
    <t>Nova Blanco Baño</t>
  </si>
  <si>
    <t>Nova Blanco Cocina</t>
  </si>
  <si>
    <t xml:space="preserve">Aveiro Beige </t>
  </si>
  <si>
    <t>Linea Design pd-35130</t>
  </si>
  <si>
    <t>Linea Design 20600</t>
  </si>
  <si>
    <t>Onyx White</t>
  </si>
  <si>
    <t>Coimbra Azul</t>
  </si>
  <si>
    <t>Mila Cocina</t>
  </si>
  <si>
    <t>Ronia Cocina</t>
  </si>
  <si>
    <t>Repello Drytec Blanco Fino</t>
  </si>
  <si>
    <t>Gris Claro 3k</t>
  </si>
  <si>
    <t>Cortinero</t>
  </si>
  <si>
    <t xml:space="preserve">Ducha Cuadrada </t>
  </si>
  <si>
    <t>Ducha Redonda</t>
  </si>
  <si>
    <t>Trampa Flexible Lav</t>
  </si>
  <si>
    <t>Trampa Flexible Pantry</t>
  </si>
  <si>
    <t>Bondex Plus Drytec</t>
  </si>
  <si>
    <t xml:space="preserve">Ventas </t>
  </si>
  <si>
    <t>Calzada Beige</t>
  </si>
  <si>
    <t>Romano Beige Cocina</t>
  </si>
  <si>
    <t>Cortina Verde</t>
  </si>
  <si>
    <t>Repello Drytec Blanco</t>
  </si>
  <si>
    <t xml:space="preserve">722 Azul </t>
  </si>
  <si>
    <t>Farol Blanco</t>
  </si>
  <si>
    <t>Lavamano Cato Blanco</t>
  </si>
  <si>
    <t>Porcelanato gris mate</t>
  </si>
  <si>
    <t>Rio Gris Granillado</t>
  </si>
  <si>
    <t>LD PD-35130</t>
  </si>
  <si>
    <t>Llave de monomando</t>
  </si>
  <si>
    <t>Trin Negro</t>
  </si>
  <si>
    <t>Llave de lavamano de monocomando</t>
  </si>
  <si>
    <t>Dias</t>
  </si>
  <si>
    <t>Bujia 3B</t>
  </si>
  <si>
    <t>Dubai</t>
  </si>
  <si>
    <t xml:space="preserve">Asiento Aqua de Inodoro </t>
  </si>
  <si>
    <t>Rodas</t>
  </si>
  <si>
    <t>Elda Gris</t>
  </si>
  <si>
    <t>Utilidad Neta</t>
  </si>
  <si>
    <t>722 Verde</t>
  </si>
  <si>
    <t>Pedestal Cato Blanco</t>
  </si>
  <si>
    <t>Diablo rojo</t>
  </si>
  <si>
    <t>Cortina Rojo</t>
  </si>
  <si>
    <t>Bujia led 3w</t>
  </si>
  <si>
    <t>Bujia Led 5w</t>
  </si>
  <si>
    <t>Romano crema</t>
  </si>
  <si>
    <t>Llave de pantry Griven</t>
  </si>
  <si>
    <t>Casilina</t>
  </si>
  <si>
    <t>Gris claro 3k</t>
  </si>
  <si>
    <t>LD 20600</t>
  </si>
  <si>
    <t>Porcelanato Blanco</t>
  </si>
  <si>
    <t>Lámpara circular LED</t>
  </si>
  <si>
    <t>Cancelación</t>
  </si>
  <si>
    <t>812 Cedro</t>
  </si>
  <si>
    <t>Granilla Marrón</t>
  </si>
  <si>
    <t>222 Blanco</t>
  </si>
  <si>
    <t>802 Roble</t>
  </si>
  <si>
    <t>Llave de pase Recta</t>
  </si>
  <si>
    <t>Sydney Roble</t>
  </si>
  <si>
    <t>Mosaico Rosa</t>
  </si>
  <si>
    <t>812 marrón granilla</t>
  </si>
  <si>
    <t>812 cedro</t>
  </si>
  <si>
    <t>Gabinete Blanco</t>
  </si>
  <si>
    <t>722 Granilla Marrón</t>
  </si>
  <si>
    <t>Porcelanato Madera Brillante</t>
  </si>
  <si>
    <t>Panel de luz 6w</t>
  </si>
  <si>
    <t>Lavamano Ecoline Azul</t>
  </si>
  <si>
    <t>Rosada</t>
  </si>
  <si>
    <t>Inodoro Aqua Rojo</t>
  </si>
  <si>
    <t>panel de luz 12w</t>
  </si>
  <si>
    <t>Adoquin</t>
  </si>
  <si>
    <t>722 marrón</t>
  </si>
  <si>
    <t>Azul Metal</t>
  </si>
  <si>
    <t>Desatorador</t>
  </si>
  <si>
    <t>Breccia Café</t>
  </si>
  <si>
    <t>Bujia de Led 9w</t>
  </si>
  <si>
    <t>Segovia</t>
  </si>
  <si>
    <t>Cera para Inodoro</t>
  </si>
  <si>
    <t>Betina</t>
  </si>
  <si>
    <t>Sorrento Rojo</t>
  </si>
  <si>
    <t>Teak Azul</t>
  </si>
  <si>
    <t>45x45 Nogal Oscuro</t>
  </si>
  <si>
    <t>Rio Gris</t>
  </si>
  <si>
    <t>Tapachula Marrón</t>
  </si>
  <si>
    <t>Granillado Blanco</t>
  </si>
  <si>
    <t>Tapachula Azul</t>
  </si>
  <si>
    <t>Gris solido</t>
  </si>
  <si>
    <t>Mila</t>
  </si>
  <si>
    <t>Negro Brillante</t>
  </si>
  <si>
    <t>Florencia Gris</t>
  </si>
  <si>
    <t>Baleares Marfil</t>
  </si>
  <si>
    <t>Zacatepec Verde</t>
  </si>
  <si>
    <t>Centro + Trampa de Pantry</t>
  </si>
  <si>
    <t>PD 20600</t>
  </si>
  <si>
    <t>Romance Beige</t>
  </si>
  <si>
    <t>PD 17100</t>
  </si>
  <si>
    <t>MIla</t>
  </si>
  <si>
    <t>Madera Claro</t>
  </si>
  <si>
    <t>Beige Marfil</t>
  </si>
  <si>
    <t>Blanco Porcelanite</t>
  </si>
  <si>
    <t>Pana de Pantry Pq</t>
  </si>
  <si>
    <t>Trampa Flexible</t>
  </si>
  <si>
    <t>Lavamano Plastico Pq</t>
  </si>
  <si>
    <t>Inodoro Bilbao Elongado</t>
  </si>
  <si>
    <t>722 Piso verde</t>
  </si>
  <si>
    <t>Lavamano Plastico Gr</t>
  </si>
  <si>
    <t>822 Roble</t>
  </si>
  <si>
    <t>Repello</t>
  </si>
  <si>
    <t>Virgen y Papa</t>
  </si>
  <si>
    <t>Purisima</t>
  </si>
  <si>
    <t>Betina Cocina</t>
  </si>
  <si>
    <t>Romance Azul</t>
  </si>
  <si>
    <t>Sepentina Digital</t>
  </si>
  <si>
    <t>Virgen de Guadalupe</t>
  </si>
  <si>
    <t>Granillado Blanco PEI31680</t>
  </si>
  <si>
    <t>Andes Plus Blanco</t>
  </si>
  <si>
    <t>Linea Design Pd-17100 Café</t>
  </si>
  <si>
    <t>Inodoro Bilbao Blanco Corona</t>
  </si>
  <si>
    <t>Llave de Pantry Cuello Flexible</t>
  </si>
  <si>
    <t>Colador para Pantry Griven</t>
  </si>
  <si>
    <t>Trampa Lavamano Griven</t>
  </si>
  <si>
    <t>Trampa Flexible Pantry Wolfgang</t>
  </si>
  <si>
    <t>Llave de Lavamano Cruz Griven</t>
  </si>
  <si>
    <t>Centro de Lavamano Cromado Griven</t>
  </si>
  <si>
    <t>Rodillo Y felpa 4"</t>
  </si>
  <si>
    <t>Rodillo y Felpa 9"</t>
  </si>
  <si>
    <t>Llave de Pantry Manecilla Corta Griven</t>
  </si>
  <si>
    <t>Ducha Cuadrada Plastica Griven</t>
  </si>
  <si>
    <t>Llave de Baño Cromado Corta Griven</t>
  </si>
  <si>
    <t>Llave de Pantry Doble Cruz Cuello Griven</t>
  </si>
  <si>
    <t>Brocha de 3"</t>
  </si>
  <si>
    <t>Brocha de 2.5"</t>
  </si>
  <si>
    <t>Brocha de 1"</t>
  </si>
  <si>
    <t>Llave de Pantry Doble Cuello Alto Griven</t>
  </si>
  <si>
    <t>Llave de Pantry Doble Man. Cuello Alto Griven</t>
  </si>
  <si>
    <t>Regadera de Baño Redondo 6"</t>
  </si>
  <si>
    <t>Regadera de Baño Redondo 4"</t>
  </si>
  <si>
    <t>Regadera con Manguera Griven</t>
  </si>
  <si>
    <t>Rejilla 4x4 Pesada Griven</t>
  </si>
  <si>
    <t>Candado Dorado 50mm Castor</t>
  </si>
  <si>
    <t>Candado Dorado 40mm Castor</t>
  </si>
  <si>
    <t>Candado Dorado 30mm Castor</t>
  </si>
  <si>
    <t>Romano Beige Liso</t>
  </si>
  <si>
    <t>Romano Beige 1</t>
  </si>
  <si>
    <t>Primavera Azul 1</t>
  </si>
  <si>
    <t>Primavera Azul Liso</t>
  </si>
  <si>
    <t>Palmira beige 1</t>
  </si>
  <si>
    <t>Palmira beige Liso</t>
  </si>
  <si>
    <t>Inodoro Ecoline Bone</t>
  </si>
  <si>
    <t>812 Marrón Granilla</t>
  </si>
  <si>
    <t>Asiento Redondo Ecoline</t>
  </si>
  <si>
    <t>Inodoro Aqua Rojo Boton</t>
  </si>
  <si>
    <t>Romano Crema Liso</t>
  </si>
  <si>
    <t>Baleares Marfil Liso</t>
  </si>
  <si>
    <t>Breccia Café Liso</t>
  </si>
  <si>
    <t>Lisboa Azul Liso</t>
  </si>
  <si>
    <t>Teka Brillante</t>
  </si>
  <si>
    <t>Fresno Claro</t>
  </si>
  <si>
    <t>Super Black</t>
  </si>
  <si>
    <t>Lavamano Ecoline Bone</t>
  </si>
  <si>
    <t>Lavamano Ecoline Day Dream</t>
  </si>
  <si>
    <t>Baleares Marfil 1</t>
  </si>
  <si>
    <t>Breccia Café 1</t>
  </si>
  <si>
    <t>Lavamano Astra Grande</t>
  </si>
  <si>
    <t>Lavamano Astra Pq</t>
  </si>
  <si>
    <t>722 Azul Liso</t>
  </si>
  <si>
    <t>Dubai Beige 45</t>
  </si>
  <si>
    <t>Solido Gris</t>
  </si>
  <si>
    <t>Kit de Inodoro Ecoline</t>
  </si>
  <si>
    <t>Alabastro Rodeno</t>
  </si>
  <si>
    <t>Piso 722 Verde</t>
  </si>
  <si>
    <t>Porcelanato Blanco PC010</t>
  </si>
  <si>
    <t>Panel Led Redondo 18w</t>
  </si>
  <si>
    <t>Pana de Pantry 15x15x5.5</t>
  </si>
  <si>
    <t>Codigo de Producto</t>
  </si>
  <si>
    <t>Descripción</t>
  </si>
  <si>
    <t>Existencias Iniciales</t>
  </si>
  <si>
    <t>Entradas</t>
  </si>
  <si>
    <t>Salidas</t>
  </si>
  <si>
    <t>Stock</t>
  </si>
  <si>
    <t>Lavamano Ecoline Rojo Vino</t>
  </si>
  <si>
    <t>Palmira Beige Liso</t>
  </si>
  <si>
    <t>Bahía Marrón</t>
  </si>
  <si>
    <t>Cerámica</t>
  </si>
  <si>
    <t>MIA001</t>
  </si>
  <si>
    <t>MLA001</t>
  </si>
  <si>
    <t>CLC001</t>
  </si>
  <si>
    <t>MIEDD001</t>
  </si>
  <si>
    <t>MLECD001</t>
  </si>
  <si>
    <t>MLEB001</t>
  </si>
  <si>
    <t>MLERV001</t>
  </si>
  <si>
    <t>MCFB001</t>
  </si>
  <si>
    <t>MABML001</t>
  </si>
  <si>
    <t>MAPB001</t>
  </si>
  <si>
    <t>MALAL001</t>
  </si>
  <si>
    <t>MALA1001</t>
  </si>
  <si>
    <t>MABBL001</t>
  </si>
  <si>
    <t>MAOB001</t>
  </si>
  <si>
    <t>MABCL001</t>
  </si>
  <si>
    <t>MABBB001</t>
  </si>
  <si>
    <t>MABM1001</t>
  </si>
  <si>
    <t>MABC1001</t>
  </si>
  <si>
    <t>MACB001</t>
  </si>
  <si>
    <t>MAMB001</t>
  </si>
  <si>
    <t>MC222B001</t>
  </si>
  <si>
    <t>MACV001</t>
  </si>
  <si>
    <t>MAMV001</t>
  </si>
  <si>
    <t>CCML001</t>
  </si>
  <si>
    <t>MA722M001</t>
  </si>
  <si>
    <t>MARCL001</t>
  </si>
  <si>
    <t>MC802R001</t>
  </si>
  <si>
    <t>MC822R001</t>
  </si>
  <si>
    <t>MCZM001</t>
  </si>
  <si>
    <t>MCBM001</t>
  </si>
  <si>
    <t>Blanco PC010</t>
  </si>
  <si>
    <t>Blanco Carrara</t>
  </si>
  <si>
    <t>Baleares Azul Liso</t>
  </si>
  <si>
    <t>722 Verde Liso</t>
  </si>
  <si>
    <t>722 Verde 1</t>
  </si>
  <si>
    <t>722 Marrón Liso</t>
  </si>
  <si>
    <t>Pedestal Ecoline Rojo Vino</t>
  </si>
  <si>
    <t>Madera Dinizia Oscuro</t>
  </si>
  <si>
    <t>MPSB001</t>
  </si>
  <si>
    <t>MPMC001</t>
  </si>
  <si>
    <t>MPBC001</t>
  </si>
  <si>
    <t>HPBPC001</t>
  </si>
  <si>
    <t>MCMA001</t>
  </si>
  <si>
    <t>MCMR001</t>
  </si>
  <si>
    <t>MCAB001</t>
  </si>
  <si>
    <t>MCMV001</t>
  </si>
  <si>
    <t>MAOV001</t>
  </si>
  <si>
    <t>MCTA001</t>
  </si>
  <si>
    <t>MFAR001</t>
  </si>
  <si>
    <t>MARBL001</t>
  </si>
  <si>
    <t>MARBC001</t>
  </si>
  <si>
    <t>MABAL001</t>
  </si>
  <si>
    <t>MABA1001</t>
  </si>
  <si>
    <t>MA722VL001</t>
  </si>
  <si>
    <t>MA722V1001</t>
  </si>
  <si>
    <t>MA722ML001</t>
  </si>
  <si>
    <t>CLPCB001</t>
  </si>
  <si>
    <t>MLPAB001</t>
  </si>
  <si>
    <t>MLPERJ001</t>
  </si>
  <si>
    <t>CCMA001</t>
  </si>
  <si>
    <t>CCSA001</t>
  </si>
  <si>
    <t>MCRGG001</t>
  </si>
  <si>
    <t>CCSB001</t>
  </si>
  <si>
    <t>MIEB001</t>
  </si>
  <si>
    <t>MIECL001</t>
  </si>
  <si>
    <t>MIERV001</t>
  </si>
  <si>
    <t>Madera Dinizia Claro</t>
  </si>
  <si>
    <t>Palestina negro</t>
  </si>
  <si>
    <t>Linea Design PD-35130</t>
  </si>
  <si>
    <t xml:space="preserve">Porcelana Maya </t>
  </si>
  <si>
    <t>Blanco Colonial 3k</t>
  </si>
  <si>
    <t>Precio Unitario</t>
  </si>
  <si>
    <t>Costo Unitario</t>
  </si>
  <si>
    <t>CCMDO001</t>
  </si>
  <si>
    <t>CCSV001</t>
  </si>
  <si>
    <t>CCMDC001</t>
  </si>
  <si>
    <t>HPBM001</t>
  </si>
  <si>
    <t>MCFM001</t>
  </si>
  <si>
    <t>CCMC001</t>
  </si>
  <si>
    <t>CASG001</t>
  </si>
  <si>
    <t>CCC001</t>
  </si>
  <si>
    <t>MCPN001</t>
  </si>
  <si>
    <t>CCA001</t>
  </si>
  <si>
    <t>MANBC001</t>
  </si>
  <si>
    <t>CCLDPD35130</t>
  </si>
  <si>
    <t>MCNO001</t>
  </si>
  <si>
    <t>CBDBP001</t>
  </si>
  <si>
    <t>CBBPD</t>
  </si>
  <si>
    <t>CPBC3k</t>
  </si>
  <si>
    <t>CPGC3k</t>
  </si>
  <si>
    <t>MPPM</t>
  </si>
  <si>
    <t>Total2</t>
  </si>
  <si>
    <t>Pedestal Ecoline Candle Ligth</t>
  </si>
  <si>
    <t>MLPECL001</t>
  </si>
  <si>
    <t>Plasterbond Klebe</t>
  </si>
  <si>
    <t>APPK001</t>
  </si>
  <si>
    <t>CIKC001</t>
  </si>
  <si>
    <t>CCLDPD20600</t>
  </si>
  <si>
    <t>MALVL001</t>
  </si>
  <si>
    <t>LTC001</t>
  </si>
  <si>
    <t>LD PD 20600</t>
  </si>
  <si>
    <t>SS002</t>
  </si>
  <si>
    <t>SS003</t>
  </si>
  <si>
    <t>SS004</t>
  </si>
  <si>
    <t>SS005</t>
  </si>
  <si>
    <t>Separadores de 2 mm</t>
  </si>
  <si>
    <t>Separadores de 3 mm</t>
  </si>
  <si>
    <t>Separadores de 4 mm</t>
  </si>
  <si>
    <t>Separadores de 5 mm</t>
  </si>
  <si>
    <t>CPN3K</t>
  </si>
  <si>
    <t>CRFD</t>
  </si>
  <si>
    <t>Repello Fino Drytec</t>
  </si>
  <si>
    <t>LL12W</t>
  </si>
  <si>
    <t>MCSM001</t>
  </si>
  <si>
    <t>IBDHG</t>
  </si>
  <si>
    <t>IBTC001</t>
  </si>
  <si>
    <t>CLB001</t>
  </si>
  <si>
    <t>Lámpara Led 12w</t>
  </si>
  <si>
    <t>Sorrento Marrón Liso</t>
  </si>
  <si>
    <t>MANB001</t>
  </si>
  <si>
    <t>MCDB001</t>
  </si>
  <si>
    <t>MALV1001</t>
  </si>
  <si>
    <t>MPPP001</t>
  </si>
  <si>
    <t>Nantes Blanco</t>
  </si>
  <si>
    <t>MAPAL001</t>
  </si>
  <si>
    <t>MAPAB001</t>
  </si>
  <si>
    <t>MAPAC001</t>
  </si>
  <si>
    <t>MPPP002</t>
  </si>
  <si>
    <t>Palenque Azul Liso</t>
  </si>
  <si>
    <t>Palenque Azul Baño</t>
  </si>
  <si>
    <t>Palenque Azul Cocina</t>
  </si>
  <si>
    <t>Pana de Pantry al Centro Tramontina</t>
  </si>
  <si>
    <t>Candado 50mm</t>
  </si>
  <si>
    <t>Candado Anticizaña 70mm</t>
  </si>
  <si>
    <t>IOC50</t>
  </si>
  <si>
    <t>IOC40</t>
  </si>
  <si>
    <t>IOC30</t>
  </si>
  <si>
    <t>IOCA70</t>
  </si>
  <si>
    <t>Bujía Led 3B 11w</t>
  </si>
  <si>
    <t>Candado 40mm</t>
  </si>
  <si>
    <t>Candado 30mm</t>
  </si>
  <si>
    <t>Bujía Led 3B 5w</t>
  </si>
  <si>
    <t>Bujía Led 3B 3w</t>
  </si>
  <si>
    <t>Bujía Led 3B 18w</t>
  </si>
  <si>
    <t>Bujía Led 3B 28w</t>
  </si>
  <si>
    <t>Bujía espiral IML 20w</t>
  </si>
  <si>
    <t>Bujía espiral IML 27w</t>
  </si>
  <si>
    <t>Bujía de Emergencia 12w</t>
  </si>
  <si>
    <t>Bujía Full Color 4w</t>
  </si>
  <si>
    <t>MIBE27</t>
  </si>
  <si>
    <t>MIBL11</t>
  </si>
  <si>
    <t>MIBL5</t>
  </si>
  <si>
    <t>MIBL3</t>
  </si>
  <si>
    <t>MIBL18</t>
  </si>
  <si>
    <t>MIBL28</t>
  </si>
  <si>
    <t>MIBE20</t>
  </si>
  <si>
    <t>MIBE12</t>
  </si>
  <si>
    <t>MIBFC4</t>
  </si>
  <si>
    <t>Panel de Luz 18w</t>
  </si>
  <si>
    <t>Panel de Luz 6w</t>
  </si>
  <si>
    <t>Panel de Luz 3w</t>
  </si>
  <si>
    <t>Panel de Luz 12w</t>
  </si>
  <si>
    <t>Panel de Luz FSL 12w</t>
  </si>
  <si>
    <t>Panel de Luz IML 18w</t>
  </si>
  <si>
    <t>SPL18</t>
  </si>
  <si>
    <t>SPL6</t>
  </si>
  <si>
    <t>SPL3</t>
  </si>
  <si>
    <t>SPL12</t>
  </si>
  <si>
    <t>SPIML18</t>
  </si>
  <si>
    <t>Imagen de Cristo</t>
  </si>
  <si>
    <t>Imagen Divino Niño</t>
  </si>
  <si>
    <t>Imagen Virgen y Papa</t>
  </si>
  <si>
    <t>Imagen Purísima</t>
  </si>
  <si>
    <t>Bujía de Emergencia 7w</t>
  </si>
  <si>
    <t>MIBE7</t>
  </si>
  <si>
    <t>CAIC</t>
  </si>
  <si>
    <t>CAIDN</t>
  </si>
  <si>
    <t>CAIVP</t>
  </si>
  <si>
    <t>CAIP</t>
  </si>
  <si>
    <t>DAIP</t>
  </si>
  <si>
    <t>Imagen Virgen Guadalupe</t>
  </si>
  <si>
    <t>CAIVG</t>
  </si>
  <si>
    <t>Cortina de Baño Peq</t>
  </si>
  <si>
    <t>IBCBP</t>
  </si>
  <si>
    <t>Pantry Doble</t>
  </si>
  <si>
    <t>SPPD</t>
  </si>
  <si>
    <t>Filtro de Pantry</t>
  </si>
  <si>
    <t>SPFP</t>
  </si>
  <si>
    <t>DAOM001</t>
  </si>
  <si>
    <t>DIKIE001</t>
  </si>
  <si>
    <t>Centro de Pantry Aqua</t>
  </si>
  <si>
    <t>SPCPA</t>
  </si>
  <si>
    <t>Llave doble de Lavamano</t>
  </si>
  <si>
    <t>Llave doble de Lavamano Gr</t>
  </si>
  <si>
    <t>Tubo Led 9w</t>
  </si>
  <si>
    <t>Tubo Led 18w</t>
  </si>
  <si>
    <t>Cortina Colibrí</t>
  </si>
  <si>
    <t>Tubo de cortina Peq</t>
  </si>
  <si>
    <t>Trampa Cespol Fama</t>
  </si>
  <si>
    <t>Centro de Lavamano Cromada</t>
  </si>
  <si>
    <t>Centro y Trampa de Lavamano</t>
  </si>
  <si>
    <t>Kit de Inodoro Fama</t>
  </si>
  <si>
    <t>Regadera de 6"</t>
  </si>
  <si>
    <t>Regadera de manguera</t>
  </si>
  <si>
    <t>Regadera de 4"</t>
  </si>
  <si>
    <t>ILLDL</t>
  </si>
  <si>
    <t>ILLDLG</t>
  </si>
  <si>
    <t>IITUL9</t>
  </si>
  <si>
    <t>IITUL18</t>
  </si>
  <si>
    <t>IBCC</t>
  </si>
  <si>
    <t>BBTCP</t>
  </si>
  <si>
    <t>SLTCF</t>
  </si>
  <si>
    <t>SLCLC</t>
  </si>
  <si>
    <t>SLCTL</t>
  </si>
  <si>
    <t>SIKIF</t>
  </si>
  <si>
    <t>IBR6</t>
  </si>
  <si>
    <t>IBR4</t>
  </si>
  <si>
    <t>IBRM</t>
  </si>
  <si>
    <t>Serpentina</t>
  </si>
  <si>
    <t>CLD001</t>
  </si>
  <si>
    <t>CLS001</t>
  </si>
  <si>
    <t>CLRB001</t>
  </si>
  <si>
    <t>CLRA001</t>
  </si>
  <si>
    <t>SIPLFSL12</t>
  </si>
  <si>
    <t>Pana de Pantry GADS</t>
  </si>
  <si>
    <t>SPPPGI</t>
  </si>
  <si>
    <t xml:space="preserve">Carmine </t>
  </si>
  <si>
    <t>CCC048</t>
  </si>
  <si>
    <t>MFCM001</t>
  </si>
  <si>
    <t>Creta Marrón</t>
  </si>
  <si>
    <t>CCMK001</t>
  </si>
  <si>
    <t>Gris Sólido</t>
  </si>
  <si>
    <t>MPGS001</t>
  </si>
  <si>
    <t>IBJ001</t>
  </si>
  <si>
    <t>MAPAL002</t>
  </si>
  <si>
    <t>MAPA1002</t>
  </si>
  <si>
    <t>Jabonera</t>
  </si>
  <si>
    <t>MLLEDD001</t>
  </si>
  <si>
    <t>OOA001</t>
  </si>
  <si>
    <t>MCO001</t>
  </si>
  <si>
    <t>MCJM001</t>
  </si>
  <si>
    <t>IBRG</t>
  </si>
  <si>
    <t>ROAM001</t>
  </si>
  <si>
    <t>Ácido Muriático</t>
  </si>
  <si>
    <t>Rodriguez</t>
  </si>
  <si>
    <t>Ducha Cuadrada</t>
  </si>
  <si>
    <t>SBDC</t>
  </si>
  <si>
    <t>IPLPDCAG</t>
  </si>
  <si>
    <t>IPLPDMCAG</t>
  </si>
  <si>
    <t>IBLD</t>
  </si>
  <si>
    <t>SLLLC</t>
  </si>
  <si>
    <t>CCOM001</t>
  </si>
  <si>
    <t>CAAPB001</t>
  </si>
  <si>
    <t>HCPIPW58</t>
  </si>
  <si>
    <t>Piso Incenor Plain White 58x58</t>
  </si>
  <si>
    <t>Inodoro Ecoline Verde Tropical</t>
  </si>
  <si>
    <t>MIEA001</t>
  </si>
  <si>
    <t>MIEVT001</t>
  </si>
  <si>
    <t>Lavamano Ecoline Verde</t>
  </si>
  <si>
    <t>MLEA001</t>
  </si>
  <si>
    <t>MLEV001</t>
  </si>
  <si>
    <t>Ebro Beige</t>
  </si>
  <si>
    <t>MCEB001</t>
  </si>
  <si>
    <t>MCNM001</t>
  </si>
  <si>
    <t>Lavamano Astra Pequeño</t>
  </si>
  <si>
    <t>Asiento Redondo Ecoline Blanco</t>
  </si>
  <si>
    <t>MLAP001</t>
  </si>
  <si>
    <t>MIAREB001</t>
  </si>
  <si>
    <t>IOC001</t>
  </si>
  <si>
    <t>Diamond Bond Plus</t>
  </si>
  <si>
    <t>MBDBP</t>
  </si>
  <si>
    <t>Lavamano Blanco Jazmin/ Pedestal Cato</t>
  </si>
  <si>
    <t>CCCG034</t>
  </si>
  <si>
    <t>CLBJ001</t>
  </si>
  <si>
    <t>CCBB001</t>
  </si>
  <si>
    <t>MCBM033</t>
  </si>
  <si>
    <t>Belén Marrón</t>
  </si>
  <si>
    <t>Llave de pase de Inodoro</t>
  </si>
  <si>
    <t>SILP</t>
  </si>
  <si>
    <t>Pana de Pantry doble tazón</t>
  </si>
  <si>
    <t>BPPPDT</t>
  </si>
  <si>
    <t>MA722A001</t>
  </si>
  <si>
    <t>722 Azul liso</t>
  </si>
  <si>
    <t>MC722A001</t>
  </si>
  <si>
    <t>ROE001</t>
  </si>
  <si>
    <t>MCAB045</t>
  </si>
  <si>
    <t>SBAB001</t>
  </si>
  <si>
    <t>CCCB001</t>
  </si>
  <si>
    <t>SOH</t>
  </si>
  <si>
    <t>Haladera</t>
  </si>
  <si>
    <t>MCNA001</t>
  </si>
  <si>
    <t>IPLPM</t>
  </si>
  <si>
    <t>Lavamano de Pantry monomando</t>
  </si>
  <si>
    <t>Llave de lavamano Monomando</t>
  </si>
  <si>
    <t>SLLLM</t>
  </si>
  <si>
    <t>CCLD17100</t>
  </si>
  <si>
    <t>Suma de Total</t>
  </si>
  <si>
    <t>Etiquetas de fila</t>
  </si>
  <si>
    <t>Total general</t>
  </si>
  <si>
    <t>nov</t>
  </si>
  <si>
    <t>dic</t>
  </si>
  <si>
    <t>Etiquetas de columna</t>
  </si>
  <si>
    <t>Total Suma de Total</t>
  </si>
  <si>
    <t>Total Cuenta de Item</t>
  </si>
  <si>
    <t>Cuenta de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</si>
</sst>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C$-4C0A]* #,##0.00_-;\-[$C$-4C0A]* #,##0.00_-;_-[$C$-4C0A]* &quot;-&quot;??_-;_-@_-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32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88"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Fill="1" applyBorder="1"/>
    <xf numFmtId="164" fontId="0" fillId="0" borderId="1" xfId="0" applyNumberFormat="1" applyFill="1" applyBorder="1"/>
    <xf numFmtId="0" fontId="0" fillId="3" borderId="0" xfId="0" applyFill="1"/>
    <xf numFmtId="164" fontId="0" fillId="0" borderId="0" xfId="0" applyNumberFormat="1" applyFill="1" applyBorder="1"/>
    <xf numFmtId="164" fontId="0" fillId="0" borderId="2" xfId="0" applyNumberFormat="1" applyBorder="1"/>
    <xf numFmtId="0" fontId="0" fillId="0" borderId="0" xfId="0" applyFill="1" applyBorder="1"/>
    <xf numFmtId="16" fontId="0" fillId="0" borderId="0" xfId="0" applyNumberFormat="1"/>
    <xf numFmtId="2" fontId="0" fillId="0" borderId="0" xfId="0" applyNumberFormat="1"/>
    <xf numFmtId="16" fontId="1" fillId="5" borderId="1" xfId="4" applyNumberFormat="1" applyBorder="1"/>
    <xf numFmtId="16" fontId="1" fillId="5" borderId="8" xfId="4" applyNumberFormat="1" applyBorder="1"/>
    <xf numFmtId="16" fontId="1" fillId="5" borderId="7" xfId="4" applyNumberFormat="1" applyBorder="1"/>
    <xf numFmtId="16" fontId="1" fillId="5" borderId="5" xfId="4" applyNumberFormat="1" applyBorder="1"/>
    <xf numFmtId="16" fontId="1" fillId="5" borderId="25" xfId="4" applyNumberFormat="1" applyBorder="1"/>
    <xf numFmtId="16" fontId="1" fillId="5" borderId="23" xfId="4" applyNumberFormat="1" applyBorder="1"/>
    <xf numFmtId="0" fontId="1" fillId="5" borderId="24" xfId="4" applyBorder="1" applyAlignment="1">
      <alignment horizontal="center"/>
    </xf>
    <xf numFmtId="0" fontId="1" fillId="5" borderId="10" xfId="4" applyBorder="1" applyAlignment="1">
      <alignment horizontal="center"/>
    </xf>
    <xf numFmtId="0" fontId="0" fillId="5" borderId="4" xfId="4" applyFont="1" applyBorder="1" applyAlignment="1">
      <alignment horizontal="center"/>
    </xf>
    <xf numFmtId="165" fontId="1" fillId="0" borderId="11" xfId="2" applyNumberFormat="1" applyFont="1" applyBorder="1"/>
    <xf numFmtId="16" fontId="1" fillId="5" borderId="21" xfId="4" applyNumberFormat="1" applyBorder="1"/>
    <xf numFmtId="16" fontId="1" fillId="5" borderId="2" xfId="4" applyNumberFormat="1" applyBorder="1"/>
    <xf numFmtId="16" fontId="1" fillId="5" borderId="30" xfId="4" applyNumberFormat="1" applyBorder="1"/>
    <xf numFmtId="16" fontId="1" fillId="5" borderId="18" xfId="4" applyNumberFormat="1" applyBorder="1"/>
    <xf numFmtId="165" fontId="1" fillId="0" borderId="17" xfId="2" applyNumberFormat="1" applyFont="1" applyBorder="1"/>
    <xf numFmtId="16" fontId="1" fillId="5" borderId="31" xfId="4" applyNumberFormat="1" applyBorder="1"/>
    <xf numFmtId="16" fontId="1" fillId="5" borderId="9" xfId="4" applyNumberFormat="1" applyBorder="1"/>
    <xf numFmtId="165" fontId="1" fillId="0" borderId="15" xfId="2" applyNumberFormat="1" applyFont="1" applyBorder="1"/>
    <xf numFmtId="165" fontId="1" fillId="0" borderId="28" xfId="2" applyNumberFormat="1" applyFont="1" applyBorder="1"/>
    <xf numFmtId="16" fontId="1" fillId="5" borderId="16" xfId="4" applyNumberFormat="1" applyBorder="1"/>
    <xf numFmtId="16" fontId="1" fillId="5" borderId="3" xfId="4" applyNumberFormat="1" applyBorder="1"/>
    <xf numFmtId="165" fontId="4" fillId="0" borderId="28" xfId="2" applyNumberFormat="1" applyFont="1" applyBorder="1"/>
    <xf numFmtId="0" fontId="4" fillId="0" borderId="12" xfId="0" applyFont="1" applyBorder="1"/>
    <xf numFmtId="165" fontId="4" fillId="0" borderId="4" xfId="2" applyNumberFormat="1" applyFont="1" applyBorder="1"/>
    <xf numFmtId="0" fontId="4" fillId="0" borderId="13" xfId="0" applyFont="1" applyBorder="1"/>
    <xf numFmtId="16" fontId="0" fillId="5" borderId="18" xfId="4" applyNumberFormat="1" applyFont="1" applyBorder="1"/>
    <xf numFmtId="165" fontId="1" fillId="0" borderId="1" xfId="2" applyNumberFormat="1" applyFont="1" applyBorder="1"/>
    <xf numFmtId="0" fontId="1" fillId="8" borderId="33" xfId="7" applyBorder="1"/>
    <xf numFmtId="0" fontId="1" fillId="8" borderId="34" xfId="7" applyBorder="1"/>
    <xf numFmtId="0" fontId="0" fillId="0" borderId="8" xfId="0" applyBorder="1"/>
    <xf numFmtId="165" fontId="1" fillId="0" borderId="8" xfId="2" applyNumberFormat="1" applyFont="1" applyBorder="1"/>
    <xf numFmtId="16" fontId="1" fillId="5" borderId="6" xfId="4" applyNumberFormat="1" applyBorder="1"/>
    <xf numFmtId="16" fontId="0" fillId="5" borderId="1" xfId="4" applyNumberFormat="1" applyFont="1" applyBorder="1"/>
    <xf numFmtId="0" fontId="1" fillId="9" borderId="1" xfId="8" applyBorder="1"/>
    <xf numFmtId="14" fontId="1" fillId="5" borderId="22" xfId="4" applyNumberFormat="1" applyBorder="1" applyAlignment="1">
      <alignment horizontal="center"/>
    </xf>
    <xf numFmtId="0" fontId="0" fillId="5" borderId="13" xfId="4" applyFont="1" applyBorder="1" applyAlignment="1">
      <alignment horizontal="center"/>
    </xf>
    <xf numFmtId="0" fontId="4" fillId="0" borderId="14" xfId="0" applyFont="1" applyBorder="1"/>
    <xf numFmtId="14" fontId="1" fillId="9" borderId="1" xfId="8" applyNumberFormat="1" applyBorder="1"/>
    <xf numFmtId="14" fontId="0" fillId="9" borderId="1" xfId="8" applyNumberFormat="1" applyFont="1" applyBorder="1"/>
    <xf numFmtId="0" fontId="1" fillId="2" borderId="8" xfId="1" applyBorder="1"/>
    <xf numFmtId="0" fontId="0" fillId="2" borderId="8" xfId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7" borderId="32" xfId="6" applyAlignment="1">
      <alignment horizontal="center" vertical="center"/>
    </xf>
    <xf numFmtId="0" fontId="2" fillId="4" borderId="19" xfId="3" applyBorder="1" applyAlignment="1">
      <alignment horizontal="center" vertical="center"/>
    </xf>
    <xf numFmtId="0" fontId="2" fillId="4" borderId="29" xfId="3" applyBorder="1" applyAlignment="1">
      <alignment horizontal="center" vertical="center"/>
    </xf>
    <xf numFmtId="0" fontId="2" fillId="4" borderId="39" xfId="3" applyBorder="1" applyAlignment="1">
      <alignment horizontal="center" vertical="center"/>
    </xf>
    <xf numFmtId="0" fontId="2" fillId="4" borderId="40" xfId="3" applyBorder="1" applyAlignment="1">
      <alignment horizontal="center" vertical="center"/>
    </xf>
    <xf numFmtId="0" fontId="2" fillId="4" borderId="26" xfId="3" applyBorder="1" applyAlignment="1">
      <alignment horizontal="center" vertical="center" wrapText="1"/>
    </xf>
    <xf numFmtId="0" fontId="2" fillId="4" borderId="20" xfId="3" applyBorder="1" applyAlignment="1">
      <alignment horizontal="center" vertical="center" wrapText="1"/>
    </xf>
    <xf numFmtId="0" fontId="2" fillId="6" borderId="26" xfId="5" applyBorder="1" applyAlignment="1">
      <alignment horizontal="center" vertical="center"/>
    </xf>
    <xf numFmtId="0" fontId="2" fillId="6" borderId="20" xfId="5" applyBorder="1" applyAlignment="1">
      <alignment horizontal="center" vertical="center"/>
    </xf>
    <xf numFmtId="0" fontId="2" fillId="6" borderId="27" xfId="5" applyBorder="1" applyAlignment="1">
      <alignment horizontal="center" vertical="center"/>
    </xf>
    <xf numFmtId="0" fontId="2" fillId="4" borderId="26" xfId="3" applyBorder="1" applyAlignment="1">
      <alignment horizontal="center" vertical="center" textRotation="90"/>
    </xf>
    <xf numFmtId="0" fontId="2" fillId="4" borderId="20" xfId="3" applyBorder="1" applyAlignment="1">
      <alignment horizontal="center" vertical="center" textRotation="90"/>
    </xf>
    <xf numFmtId="0" fontId="2" fillId="4" borderId="27" xfId="3" applyBorder="1" applyAlignment="1">
      <alignment horizontal="center" vertical="center" textRotation="90"/>
    </xf>
    <xf numFmtId="0" fontId="1" fillId="5" borderId="13" xfId="4" applyBorder="1" applyAlignment="1">
      <alignment horizontal="center"/>
    </xf>
    <xf numFmtId="0" fontId="1" fillId="5" borderId="14" xfId="4" applyBorder="1" applyAlignment="1">
      <alignment horizontal="center"/>
    </xf>
    <xf numFmtId="0" fontId="3" fillId="7" borderId="41" xfId="6" applyBorder="1" applyAlignment="1">
      <alignment horizontal="center" vertical="center"/>
    </xf>
    <xf numFmtId="0" fontId="3" fillId="7" borderId="37" xfId="6" applyBorder="1" applyAlignment="1">
      <alignment horizontal="center" vertical="center"/>
    </xf>
    <xf numFmtId="0" fontId="3" fillId="7" borderId="38" xfId="6" applyBorder="1" applyAlignment="1">
      <alignment horizontal="center" vertical="center"/>
    </xf>
    <xf numFmtId="0" fontId="2" fillId="4" borderId="35" xfId="3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0" fontId="2" fillId="6" borderId="35" xfId="5" applyBorder="1" applyAlignment="1">
      <alignment horizontal="center" vertical="center"/>
    </xf>
    <xf numFmtId="0" fontId="2" fillId="6" borderId="0" xfId="5" applyBorder="1" applyAlignment="1">
      <alignment horizontal="center" vertical="center"/>
    </xf>
    <xf numFmtId="0" fontId="2" fillId="6" borderId="36" xfId="5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1" fillId="9" borderId="42" xfId="8" applyBorder="1" applyAlignment="1">
      <alignment horizontal="center"/>
    </xf>
    <xf numFmtId="0" fontId="1" fillId="9" borderId="43" xfId="8" applyBorder="1" applyAlignment="1">
      <alignment horizontal="center"/>
    </xf>
    <xf numFmtId="0" fontId="1" fillId="9" borderId="33" xfId="8" applyBorder="1" applyAlignment="1">
      <alignment horizontal="center"/>
    </xf>
  </cellXfs>
  <cellStyles count="9">
    <cellStyle name="20% - Énfasis5" xfId="8" builtinId="46"/>
    <cellStyle name="20% - Énfasis6" xfId="7" builtinId="50"/>
    <cellStyle name="40% - Énfasis5" xfId="1" builtinId="47"/>
    <cellStyle name="40% - Énfasis6" xfId="4" builtinId="51"/>
    <cellStyle name="60% - Énfasis6" xfId="5" builtinId="52"/>
    <cellStyle name="Celda de comprobación" xfId="6" builtinId="23"/>
    <cellStyle name="Énfasis6" xfId="3" builtinId="49"/>
    <cellStyle name="Normal" xfId="0" builtinId="0"/>
    <cellStyle name="Porcentaje" xfId="2" builtinId="5"/>
  </cellStyles>
  <dxfs count="32"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numFmt numFmtId="164" formatCode="_-[$C$-4C0A]* #,##0.00_-;\-[$C$-4C0A]* #,##0.00_-;_-[$C$-4C0A]* &quot;-&quot;??_-;_-@_-"/>
    </dxf>
    <dxf>
      <numFmt numFmtId="164" formatCode="_-[$C$-4C0A]* #,##0.00_-;\-[$C$-4C0A]* #,##0.00_-;_-[$C$-4C0A]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Tendencia</a:t>
            </a:r>
            <a:r>
              <a:rPr lang="es-419" baseline="0"/>
              <a:t>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Diaria'!$A$2:$B$32</c:f>
              <c:multiLvlStrCache>
                <c:ptCount val="31"/>
                <c:lvl>
                  <c:pt idx="0">
                    <c:v>01/01/2020</c:v>
                  </c:pt>
                  <c:pt idx="1">
                    <c:v>02/01/2020</c:v>
                  </c:pt>
                  <c:pt idx="2">
                    <c:v>03/01/2020</c:v>
                  </c:pt>
                  <c:pt idx="3">
                    <c:v>04/01/2020</c:v>
                  </c:pt>
                  <c:pt idx="4">
                    <c:v>05/01/2020</c:v>
                  </c:pt>
                  <c:pt idx="5">
                    <c:v>06/01/2020</c:v>
                  </c:pt>
                  <c:pt idx="6">
                    <c:v>07/01/2020</c:v>
                  </c:pt>
                  <c:pt idx="7">
                    <c:v>08/01/2020</c:v>
                  </c:pt>
                  <c:pt idx="8">
                    <c:v>09/01/2020</c:v>
                  </c:pt>
                  <c:pt idx="9">
                    <c:v>10/01/2020</c:v>
                  </c:pt>
                  <c:pt idx="10">
                    <c:v>11/01/2020</c:v>
                  </c:pt>
                  <c:pt idx="11">
                    <c:v>12/01/2020</c:v>
                  </c:pt>
                  <c:pt idx="12">
                    <c:v>13/01/2020</c:v>
                  </c:pt>
                  <c:pt idx="13">
                    <c:v>14/01/2020</c:v>
                  </c:pt>
                  <c:pt idx="14">
                    <c:v>15/01/2020</c:v>
                  </c:pt>
                  <c:pt idx="15">
                    <c:v>16/01/2020</c:v>
                  </c:pt>
                  <c:pt idx="16">
                    <c:v>17/01/2020</c:v>
                  </c:pt>
                  <c:pt idx="17">
                    <c:v>18/01/2020</c:v>
                  </c:pt>
                  <c:pt idx="18">
                    <c:v>19/01/2020</c:v>
                  </c:pt>
                  <c:pt idx="19">
                    <c:v>20/01/2020</c:v>
                  </c:pt>
                  <c:pt idx="20">
                    <c:v>21/01/2020</c:v>
                  </c:pt>
                  <c:pt idx="21">
                    <c:v>22/01/2020</c:v>
                  </c:pt>
                  <c:pt idx="22">
                    <c:v>23/01/2020</c:v>
                  </c:pt>
                  <c:pt idx="23">
                    <c:v>24/01/2020</c:v>
                  </c:pt>
                  <c:pt idx="24">
                    <c:v>25/01/2020</c:v>
                  </c:pt>
                  <c:pt idx="25">
                    <c:v>26/01/2020</c:v>
                  </c:pt>
                  <c:pt idx="26">
                    <c:v>27/01/2020</c:v>
                  </c:pt>
                  <c:pt idx="27">
                    <c:v>28/01/2020</c:v>
                  </c:pt>
                  <c:pt idx="28">
                    <c:v>29/01/2020</c:v>
                  </c:pt>
                  <c:pt idx="29">
                    <c:v>30/01/2020</c:v>
                  </c:pt>
                  <c:pt idx="30">
                    <c:v>31/01/2020</c:v>
                  </c:pt>
                </c:lvl>
                <c:lvl>
                  <c:pt idx="0">
                    <c:v>Enero</c:v>
                  </c:pt>
                </c:lvl>
              </c:multiLvlStrCache>
            </c:multiLvlStrRef>
          </c:cat>
          <c:val>
            <c:numRef>
              <c:f>'Tendencia Diaria'!$C$2:$C$32</c:f>
              <c:numCache>
                <c:formatCode>General</c:formatCode>
                <c:ptCount val="31"/>
                <c:pt idx="0">
                  <c:v>0</c:v>
                </c:pt>
                <c:pt idx="1">
                  <c:v>67062.188235294117</c:v>
                </c:pt>
                <c:pt idx="2">
                  <c:v>4736.7777777777774</c:v>
                </c:pt>
                <c:pt idx="3">
                  <c:v>20470.408163265307</c:v>
                </c:pt>
                <c:pt idx="4">
                  <c:v>0</c:v>
                </c:pt>
                <c:pt idx="5">
                  <c:v>38635.555555555555</c:v>
                </c:pt>
                <c:pt idx="6">
                  <c:v>31246.666666666668</c:v>
                </c:pt>
                <c:pt idx="7">
                  <c:v>4163.7908496732025</c:v>
                </c:pt>
                <c:pt idx="8">
                  <c:v>12793.440522875817</c:v>
                </c:pt>
                <c:pt idx="9">
                  <c:v>44567.307189542487</c:v>
                </c:pt>
                <c:pt idx="10">
                  <c:v>14645.082352941177</c:v>
                </c:pt>
                <c:pt idx="11">
                  <c:v>0</c:v>
                </c:pt>
                <c:pt idx="12">
                  <c:v>21133.643137254898</c:v>
                </c:pt>
                <c:pt idx="13">
                  <c:v>23286.910104575163</c:v>
                </c:pt>
                <c:pt idx="14">
                  <c:v>24576.657647058826</c:v>
                </c:pt>
                <c:pt idx="15">
                  <c:v>10074.444444444445</c:v>
                </c:pt>
                <c:pt idx="16">
                  <c:v>29790.882352941175</c:v>
                </c:pt>
                <c:pt idx="17">
                  <c:v>11603.566666666666</c:v>
                </c:pt>
                <c:pt idx="18">
                  <c:v>0</c:v>
                </c:pt>
                <c:pt idx="19">
                  <c:v>17148.970588235294</c:v>
                </c:pt>
                <c:pt idx="20">
                  <c:v>32424.1</c:v>
                </c:pt>
                <c:pt idx="21">
                  <c:v>7318.3333333333339</c:v>
                </c:pt>
                <c:pt idx="22">
                  <c:v>11195.650588235294</c:v>
                </c:pt>
                <c:pt idx="23">
                  <c:v>16710.312418300651</c:v>
                </c:pt>
                <c:pt idx="24">
                  <c:v>11727.6</c:v>
                </c:pt>
                <c:pt idx="25">
                  <c:v>0</c:v>
                </c:pt>
                <c:pt idx="26">
                  <c:v>7920</c:v>
                </c:pt>
                <c:pt idx="27">
                  <c:v>54038.688888888893</c:v>
                </c:pt>
                <c:pt idx="28">
                  <c:v>5405.1960784313724</c:v>
                </c:pt>
                <c:pt idx="29">
                  <c:v>3797.76</c:v>
                </c:pt>
                <c:pt idx="30">
                  <c:v>12488.525825242719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A-40E5-AE52-867E238E3A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Diaria'!$A$2:$B$32</c:f>
              <c:multiLvlStrCache>
                <c:ptCount val="31"/>
                <c:lvl>
                  <c:pt idx="0">
                    <c:v>01/01/2020</c:v>
                  </c:pt>
                  <c:pt idx="1">
                    <c:v>02/01/2020</c:v>
                  </c:pt>
                  <c:pt idx="2">
                    <c:v>03/01/2020</c:v>
                  </c:pt>
                  <c:pt idx="3">
                    <c:v>04/01/2020</c:v>
                  </c:pt>
                  <c:pt idx="4">
                    <c:v>05/01/2020</c:v>
                  </c:pt>
                  <c:pt idx="5">
                    <c:v>06/01/2020</c:v>
                  </c:pt>
                  <c:pt idx="6">
                    <c:v>07/01/2020</c:v>
                  </c:pt>
                  <c:pt idx="7">
                    <c:v>08/01/2020</c:v>
                  </c:pt>
                  <c:pt idx="8">
                    <c:v>09/01/2020</c:v>
                  </c:pt>
                  <c:pt idx="9">
                    <c:v>10/01/2020</c:v>
                  </c:pt>
                  <c:pt idx="10">
                    <c:v>11/01/2020</c:v>
                  </c:pt>
                  <c:pt idx="11">
                    <c:v>12/01/2020</c:v>
                  </c:pt>
                  <c:pt idx="12">
                    <c:v>13/01/2020</c:v>
                  </c:pt>
                  <c:pt idx="13">
                    <c:v>14/01/2020</c:v>
                  </c:pt>
                  <c:pt idx="14">
                    <c:v>15/01/2020</c:v>
                  </c:pt>
                  <c:pt idx="15">
                    <c:v>16/01/2020</c:v>
                  </c:pt>
                  <c:pt idx="16">
                    <c:v>17/01/2020</c:v>
                  </c:pt>
                  <c:pt idx="17">
                    <c:v>18/01/2020</c:v>
                  </c:pt>
                  <c:pt idx="18">
                    <c:v>19/01/2020</c:v>
                  </c:pt>
                  <c:pt idx="19">
                    <c:v>20/01/2020</c:v>
                  </c:pt>
                  <c:pt idx="20">
                    <c:v>21/01/2020</c:v>
                  </c:pt>
                  <c:pt idx="21">
                    <c:v>22/01/2020</c:v>
                  </c:pt>
                  <c:pt idx="22">
                    <c:v>23/01/2020</c:v>
                  </c:pt>
                  <c:pt idx="23">
                    <c:v>24/01/2020</c:v>
                  </c:pt>
                  <c:pt idx="24">
                    <c:v>25/01/2020</c:v>
                  </c:pt>
                  <c:pt idx="25">
                    <c:v>26/01/2020</c:v>
                  </c:pt>
                  <c:pt idx="26">
                    <c:v>27/01/2020</c:v>
                  </c:pt>
                  <c:pt idx="27">
                    <c:v>28/01/2020</c:v>
                  </c:pt>
                  <c:pt idx="28">
                    <c:v>29/01/2020</c:v>
                  </c:pt>
                  <c:pt idx="29">
                    <c:v>30/01/2020</c:v>
                  </c:pt>
                  <c:pt idx="30">
                    <c:v>31/01/2020</c:v>
                  </c:pt>
                </c:lvl>
                <c:lvl>
                  <c:pt idx="0">
                    <c:v>Enero</c:v>
                  </c:pt>
                </c:lvl>
              </c:multiLvlStrCache>
            </c:multiLvlStrRef>
          </c:cat>
          <c:val>
            <c:numRef>
              <c:f>'Tendencia Diaria'!$D$2:$D$32</c:f>
              <c:numCache>
                <c:formatCode>General</c:formatCode>
                <c:ptCount val="31"/>
                <c:pt idx="0">
                  <c:v>0</c:v>
                </c:pt>
                <c:pt idx="1">
                  <c:v>7526.2498039215689</c:v>
                </c:pt>
                <c:pt idx="2">
                  <c:v>973.65616666666676</c:v>
                </c:pt>
                <c:pt idx="3">
                  <c:v>3712.3598265306123</c:v>
                </c:pt>
                <c:pt idx="4">
                  <c:v>0</c:v>
                </c:pt>
                <c:pt idx="5">
                  <c:v>7121.3333333333348</c:v>
                </c:pt>
                <c:pt idx="6">
                  <c:v>5155.0594999999994</c:v>
                </c:pt>
                <c:pt idx="7">
                  <c:v>784.13725490196089</c:v>
                </c:pt>
                <c:pt idx="8">
                  <c:v>2062.6654901960783</c:v>
                </c:pt>
                <c:pt idx="9">
                  <c:v>6132.7254901960778</c:v>
                </c:pt>
                <c:pt idx="10">
                  <c:v>2060.3513725490193</c:v>
                </c:pt>
                <c:pt idx="11">
                  <c:v>0</c:v>
                </c:pt>
                <c:pt idx="12">
                  <c:v>3432.5351633986925</c:v>
                </c:pt>
                <c:pt idx="13">
                  <c:v>3526.0886980392161</c:v>
                </c:pt>
                <c:pt idx="14">
                  <c:v>1992.7219607843138</c:v>
                </c:pt>
                <c:pt idx="15">
                  <c:v>1890.8888888888889</c:v>
                </c:pt>
                <c:pt idx="16">
                  <c:v>4826.8447058823531</c:v>
                </c:pt>
                <c:pt idx="17">
                  <c:v>1536.9233333333329</c:v>
                </c:pt>
                <c:pt idx="18">
                  <c:v>0</c:v>
                </c:pt>
                <c:pt idx="19">
                  <c:v>2454.1078431372548</c:v>
                </c:pt>
                <c:pt idx="20">
                  <c:v>5460.0066666666662</c:v>
                </c:pt>
                <c:pt idx="21">
                  <c:v>1501.5293333333334</c:v>
                </c:pt>
                <c:pt idx="22">
                  <c:v>1873.2185098039217</c:v>
                </c:pt>
                <c:pt idx="23">
                  <c:v>3153.7337254901963</c:v>
                </c:pt>
                <c:pt idx="24">
                  <c:v>1908.4</c:v>
                </c:pt>
                <c:pt idx="25">
                  <c:v>0</c:v>
                </c:pt>
                <c:pt idx="26">
                  <c:v>1213.2233333333334</c:v>
                </c:pt>
                <c:pt idx="27">
                  <c:v>7382.264444444445</c:v>
                </c:pt>
                <c:pt idx="28">
                  <c:v>1020.3921568627452</c:v>
                </c:pt>
                <c:pt idx="29">
                  <c:v>1053.7440000000001</c:v>
                </c:pt>
                <c:pt idx="30">
                  <c:v>1849.1119158576053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A-40E5-AE52-867E238E3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923055"/>
        <c:axId val="397918479"/>
        <c:axId val="0"/>
      </c:bar3DChart>
      <c:catAx>
        <c:axId val="39792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97918479"/>
        <c:crosses val="autoZero"/>
        <c:auto val="1"/>
        <c:lblAlgn val="ctr"/>
        <c:lblOffset val="100"/>
        <c:noMultiLvlLbl val="0"/>
      </c:catAx>
      <c:valAx>
        <c:axId val="3979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9792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Tendencia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Diaria'!$A$285:$B$315</c:f>
              <c:multiLvlStrCache>
                <c:ptCount val="31"/>
                <c:lvl>
                  <c:pt idx="0">
                    <c:v>01/10/2020</c:v>
                  </c:pt>
                  <c:pt idx="1">
                    <c:v>02/10/2020</c:v>
                  </c:pt>
                  <c:pt idx="2">
                    <c:v>03/10/2020</c:v>
                  </c:pt>
                  <c:pt idx="3">
                    <c:v>04/10/2020</c:v>
                  </c:pt>
                  <c:pt idx="4">
                    <c:v>05/10/2020</c:v>
                  </c:pt>
                  <c:pt idx="5">
                    <c:v>06/10/2020</c:v>
                  </c:pt>
                  <c:pt idx="6">
                    <c:v>07/10/2020</c:v>
                  </c:pt>
                  <c:pt idx="7">
                    <c:v>08/10/2020</c:v>
                  </c:pt>
                  <c:pt idx="8">
                    <c:v>09/10/2020</c:v>
                  </c:pt>
                  <c:pt idx="9">
                    <c:v>10/10/2020</c:v>
                  </c:pt>
                  <c:pt idx="10">
                    <c:v>11/10/2020</c:v>
                  </c:pt>
                  <c:pt idx="11">
                    <c:v>12/10/2020</c:v>
                  </c:pt>
                  <c:pt idx="12">
                    <c:v>13/10/2020</c:v>
                  </c:pt>
                  <c:pt idx="13">
                    <c:v>14/10/2020</c:v>
                  </c:pt>
                  <c:pt idx="14">
                    <c:v>15/10/2020</c:v>
                  </c:pt>
                  <c:pt idx="15">
                    <c:v>16/10/2020</c:v>
                  </c:pt>
                  <c:pt idx="16">
                    <c:v>17/10/2020</c:v>
                  </c:pt>
                  <c:pt idx="17">
                    <c:v>18/10/2020</c:v>
                  </c:pt>
                  <c:pt idx="18">
                    <c:v>19/10/2020</c:v>
                  </c:pt>
                  <c:pt idx="19">
                    <c:v>20/10/2020</c:v>
                  </c:pt>
                  <c:pt idx="20">
                    <c:v>21/10/2020</c:v>
                  </c:pt>
                  <c:pt idx="21">
                    <c:v>22/10/2020</c:v>
                  </c:pt>
                  <c:pt idx="22">
                    <c:v>23/10/2020</c:v>
                  </c:pt>
                  <c:pt idx="23">
                    <c:v>24/10/2020</c:v>
                  </c:pt>
                  <c:pt idx="24">
                    <c:v>25/10/2020</c:v>
                  </c:pt>
                  <c:pt idx="25">
                    <c:v>26/10/2020</c:v>
                  </c:pt>
                  <c:pt idx="26">
                    <c:v>27/10/2020</c:v>
                  </c:pt>
                  <c:pt idx="27">
                    <c:v>28/10/2020</c:v>
                  </c:pt>
                  <c:pt idx="28">
                    <c:v>29/10/2020</c:v>
                  </c:pt>
                  <c:pt idx="29">
                    <c:v>30/10/2020</c:v>
                  </c:pt>
                  <c:pt idx="30">
                    <c:v>31/10/2020</c:v>
                  </c:pt>
                </c:lvl>
                <c:lvl>
                  <c:pt idx="0">
                    <c:v>Octubre</c:v>
                  </c:pt>
                </c:lvl>
              </c:multiLvlStrCache>
            </c:multiLvlStrRef>
          </c:cat>
          <c:val>
            <c:numRef>
              <c:f>'Tendencia Diaria'!$C$285:$C$315</c:f>
              <c:numCache>
                <c:formatCode>General</c:formatCode>
                <c:ptCount val="31"/>
                <c:pt idx="0">
                  <c:v>9986.875</c:v>
                </c:pt>
                <c:pt idx="1">
                  <c:v>22777.666666666664</c:v>
                </c:pt>
                <c:pt idx="2">
                  <c:v>29449</c:v>
                </c:pt>
                <c:pt idx="3">
                  <c:v>0</c:v>
                </c:pt>
                <c:pt idx="4">
                  <c:v>27133.529411764706</c:v>
                </c:pt>
                <c:pt idx="5">
                  <c:v>14690</c:v>
                </c:pt>
                <c:pt idx="6">
                  <c:v>13925.555555555555</c:v>
                </c:pt>
                <c:pt idx="7">
                  <c:v>13129.199999999999</c:v>
                </c:pt>
                <c:pt idx="8">
                  <c:v>3655</c:v>
                </c:pt>
                <c:pt idx="9">
                  <c:v>20665</c:v>
                </c:pt>
                <c:pt idx="10">
                  <c:v>0</c:v>
                </c:pt>
                <c:pt idx="11">
                  <c:v>33102</c:v>
                </c:pt>
                <c:pt idx="12">
                  <c:v>18121.911764705881</c:v>
                </c:pt>
                <c:pt idx="13">
                  <c:v>13752.788235294118</c:v>
                </c:pt>
                <c:pt idx="14">
                  <c:v>7373.4693877551017</c:v>
                </c:pt>
                <c:pt idx="15">
                  <c:v>3361.9</c:v>
                </c:pt>
                <c:pt idx="16">
                  <c:v>16418.5</c:v>
                </c:pt>
                <c:pt idx="17">
                  <c:v>0</c:v>
                </c:pt>
                <c:pt idx="18">
                  <c:v>18626.349019607842</c:v>
                </c:pt>
                <c:pt idx="19">
                  <c:v>11820</c:v>
                </c:pt>
                <c:pt idx="20">
                  <c:v>18750</c:v>
                </c:pt>
                <c:pt idx="21">
                  <c:v>12691.732026143791</c:v>
                </c:pt>
                <c:pt idx="22">
                  <c:v>16886.176470588234</c:v>
                </c:pt>
                <c:pt idx="23">
                  <c:v>7960.588235294118</c:v>
                </c:pt>
                <c:pt idx="24">
                  <c:v>0</c:v>
                </c:pt>
                <c:pt idx="25">
                  <c:v>17336.333333333336</c:v>
                </c:pt>
                <c:pt idx="26">
                  <c:v>42060</c:v>
                </c:pt>
                <c:pt idx="27">
                  <c:v>51155.72156862745</c:v>
                </c:pt>
                <c:pt idx="28">
                  <c:v>11153.6</c:v>
                </c:pt>
                <c:pt idx="29">
                  <c:v>66964.444444444438</c:v>
                </c:pt>
                <c:pt idx="30">
                  <c:v>13337.4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756-97A2-292DDEBF74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Diaria'!$A$285:$B$315</c:f>
              <c:multiLvlStrCache>
                <c:ptCount val="31"/>
                <c:lvl>
                  <c:pt idx="0">
                    <c:v>01/10/2020</c:v>
                  </c:pt>
                  <c:pt idx="1">
                    <c:v>02/10/2020</c:v>
                  </c:pt>
                  <c:pt idx="2">
                    <c:v>03/10/2020</c:v>
                  </c:pt>
                  <c:pt idx="3">
                    <c:v>04/10/2020</c:v>
                  </c:pt>
                  <c:pt idx="4">
                    <c:v>05/10/2020</c:v>
                  </c:pt>
                  <c:pt idx="5">
                    <c:v>06/10/2020</c:v>
                  </c:pt>
                  <c:pt idx="6">
                    <c:v>07/10/2020</c:v>
                  </c:pt>
                  <c:pt idx="7">
                    <c:v>08/10/2020</c:v>
                  </c:pt>
                  <c:pt idx="8">
                    <c:v>09/10/2020</c:v>
                  </c:pt>
                  <c:pt idx="9">
                    <c:v>10/10/2020</c:v>
                  </c:pt>
                  <c:pt idx="10">
                    <c:v>11/10/2020</c:v>
                  </c:pt>
                  <c:pt idx="11">
                    <c:v>12/10/2020</c:v>
                  </c:pt>
                  <c:pt idx="12">
                    <c:v>13/10/2020</c:v>
                  </c:pt>
                  <c:pt idx="13">
                    <c:v>14/10/2020</c:v>
                  </c:pt>
                  <c:pt idx="14">
                    <c:v>15/10/2020</c:v>
                  </c:pt>
                  <c:pt idx="15">
                    <c:v>16/10/2020</c:v>
                  </c:pt>
                  <c:pt idx="16">
                    <c:v>17/10/2020</c:v>
                  </c:pt>
                  <c:pt idx="17">
                    <c:v>18/10/2020</c:v>
                  </c:pt>
                  <c:pt idx="18">
                    <c:v>19/10/2020</c:v>
                  </c:pt>
                  <c:pt idx="19">
                    <c:v>20/10/2020</c:v>
                  </c:pt>
                  <c:pt idx="20">
                    <c:v>21/10/2020</c:v>
                  </c:pt>
                  <c:pt idx="21">
                    <c:v>22/10/2020</c:v>
                  </c:pt>
                  <c:pt idx="22">
                    <c:v>23/10/2020</c:v>
                  </c:pt>
                  <c:pt idx="23">
                    <c:v>24/10/2020</c:v>
                  </c:pt>
                  <c:pt idx="24">
                    <c:v>25/10/2020</c:v>
                  </c:pt>
                  <c:pt idx="25">
                    <c:v>26/10/2020</c:v>
                  </c:pt>
                  <c:pt idx="26">
                    <c:v>27/10/2020</c:v>
                  </c:pt>
                  <c:pt idx="27">
                    <c:v>28/10/2020</c:v>
                  </c:pt>
                  <c:pt idx="28">
                    <c:v>29/10/2020</c:v>
                  </c:pt>
                  <c:pt idx="29">
                    <c:v>30/10/2020</c:v>
                  </c:pt>
                  <c:pt idx="30">
                    <c:v>31/10/2020</c:v>
                  </c:pt>
                </c:lvl>
                <c:lvl>
                  <c:pt idx="0">
                    <c:v>Octubre</c:v>
                  </c:pt>
                </c:lvl>
              </c:multiLvlStrCache>
            </c:multiLvlStrRef>
          </c:cat>
          <c:val>
            <c:numRef>
              <c:f>'Tendencia Diaria'!$D$285:$D$315</c:f>
              <c:numCache>
                <c:formatCode>General</c:formatCode>
                <c:ptCount val="31"/>
                <c:pt idx="0">
                  <c:v>1635.9375</c:v>
                </c:pt>
                <c:pt idx="1">
                  <c:v>2952.1333333333332</c:v>
                </c:pt>
                <c:pt idx="2">
                  <c:v>4034.0000000000005</c:v>
                </c:pt>
                <c:pt idx="3">
                  <c:v>0</c:v>
                </c:pt>
                <c:pt idx="4">
                  <c:v>4835.8431372549021</c:v>
                </c:pt>
                <c:pt idx="5">
                  <c:v>2499</c:v>
                </c:pt>
                <c:pt idx="6">
                  <c:v>1737.5555555555557</c:v>
                </c:pt>
                <c:pt idx="7">
                  <c:v>2259.13</c:v>
                </c:pt>
                <c:pt idx="8">
                  <c:v>906</c:v>
                </c:pt>
                <c:pt idx="9">
                  <c:v>3099</c:v>
                </c:pt>
                <c:pt idx="10">
                  <c:v>0</c:v>
                </c:pt>
                <c:pt idx="11">
                  <c:v>4491.2222222222226</c:v>
                </c:pt>
                <c:pt idx="12">
                  <c:v>2305.1372549019607</c:v>
                </c:pt>
                <c:pt idx="13">
                  <c:v>1657.619411764706</c:v>
                </c:pt>
                <c:pt idx="14">
                  <c:v>1377.8163265306123</c:v>
                </c:pt>
                <c:pt idx="15">
                  <c:v>502.80666666666667</c:v>
                </c:pt>
                <c:pt idx="16">
                  <c:v>2611.3233333333333</c:v>
                </c:pt>
                <c:pt idx="17">
                  <c:v>0</c:v>
                </c:pt>
                <c:pt idx="18">
                  <c:v>3141.2785620915033</c:v>
                </c:pt>
                <c:pt idx="19">
                  <c:v>1520</c:v>
                </c:pt>
                <c:pt idx="20">
                  <c:v>2542.3333333333335</c:v>
                </c:pt>
                <c:pt idx="21">
                  <c:v>2230.6143790849674</c:v>
                </c:pt>
                <c:pt idx="22">
                  <c:v>2432.7254901960787</c:v>
                </c:pt>
                <c:pt idx="23">
                  <c:v>1248.5294117647059</c:v>
                </c:pt>
                <c:pt idx="24">
                  <c:v>0</c:v>
                </c:pt>
                <c:pt idx="25">
                  <c:v>2644.3222222222225</c:v>
                </c:pt>
                <c:pt idx="26">
                  <c:v>5515</c:v>
                </c:pt>
                <c:pt idx="27">
                  <c:v>6554.1049673202615</c:v>
                </c:pt>
                <c:pt idx="28">
                  <c:v>1696.1799999999998</c:v>
                </c:pt>
                <c:pt idx="29">
                  <c:v>6758.4444444444443</c:v>
                </c:pt>
                <c:pt idx="30">
                  <c:v>2193.16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E-4756-97A2-292DDEBF7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895055"/>
        <c:axId val="552887983"/>
        <c:axId val="0"/>
      </c:bar3DChart>
      <c:catAx>
        <c:axId val="5528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87983"/>
        <c:crosses val="autoZero"/>
        <c:auto val="1"/>
        <c:lblAlgn val="ctr"/>
        <c:lblOffset val="100"/>
        <c:noMultiLvlLbl val="0"/>
      </c:catAx>
      <c:valAx>
        <c:axId val="5528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Tendencia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Diaria'!$A$317:$B$346</c:f>
              <c:multiLvlStrCache>
                <c:ptCount val="30"/>
                <c:lvl>
                  <c:pt idx="0">
                    <c:v>01/11/2020</c:v>
                  </c:pt>
                  <c:pt idx="1">
                    <c:v>02/11/2020</c:v>
                  </c:pt>
                  <c:pt idx="2">
                    <c:v>03/11/2020</c:v>
                  </c:pt>
                  <c:pt idx="3">
                    <c:v>04/11/2020</c:v>
                  </c:pt>
                  <c:pt idx="4">
                    <c:v>05/11/2020</c:v>
                  </c:pt>
                  <c:pt idx="5">
                    <c:v>06/11/2020</c:v>
                  </c:pt>
                  <c:pt idx="6">
                    <c:v>07/11/2020</c:v>
                  </c:pt>
                  <c:pt idx="7">
                    <c:v>08/11/2020</c:v>
                  </c:pt>
                  <c:pt idx="8">
                    <c:v>09/11/2020</c:v>
                  </c:pt>
                  <c:pt idx="9">
                    <c:v>10/11/2020</c:v>
                  </c:pt>
                  <c:pt idx="10">
                    <c:v>11/11/2020</c:v>
                  </c:pt>
                  <c:pt idx="11">
                    <c:v>12/11/2020</c:v>
                  </c:pt>
                  <c:pt idx="12">
                    <c:v>13/11/2020</c:v>
                  </c:pt>
                  <c:pt idx="13">
                    <c:v>14/11/2020</c:v>
                  </c:pt>
                  <c:pt idx="14">
                    <c:v>15/11/2020</c:v>
                  </c:pt>
                  <c:pt idx="15">
                    <c:v>16/11/2020</c:v>
                  </c:pt>
                  <c:pt idx="16">
                    <c:v>17/11/2020</c:v>
                  </c:pt>
                  <c:pt idx="17">
                    <c:v>18/11/2020</c:v>
                  </c:pt>
                  <c:pt idx="18">
                    <c:v>19/11/2020</c:v>
                  </c:pt>
                  <c:pt idx="19">
                    <c:v>20/11/2020</c:v>
                  </c:pt>
                  <c:pt idx="20">
                    <c:v>21/11/2020</c:v>
                  </c:pt>
                  <c:pt idx="21">
                    <c:v>22/11/2020</c:v>
                  </c:pt>
                  <c:pt idx="22">
                    <c:v>23/11/2020</c:v>
                  </c:pt>
                  <c:pt idx="23">
                    <c:v>24/11/2020</c:v>
                  </c:pt>
                  <c:pt idx="24">
                    <c:v>25/11/2020</c:v>
                  </c:pt>
                  <c:pt idx="25">
                    <c:v>26/11/2020</c:v>
                  </c:pt>
                  <c:pt idx="26">
                    <c:v>27/11/2020</c:v>
                  </c:pt>
                  <c:pt idx="27">
                    <c:v>28/11/2020</c:v>
                  </c:pt>
                  <c:pt idx="28">
                    <c:v>29/11/2020</c:v>
                  </c:pt>
                  <c:pt idx="29">
                    <c:v>30/11/2020</c:v>
                  </c:pt>
                </c:lvl>
                <c:lvl>
                  <c:pt idx="0">
                    <c:v>Noviembre</c:v>
                  </c:pt>
                </c:lvl>
              </c:multiLvlStrCache>
            </c:multiLvlStrRef>
          </c:cat>
          <c:val>
            <c:numRef>
              <c:f>'Tendencia Diaria'!$C$317:$C$346</c:f>
              <c:numCache>
                <c:formatCode>General</c:formatCode>
                <c:ptCount val="30"/>
                <c:pt idx="0">
                  <c:v>0</c:v>
                </c:pt>
                <c:pt idx="1">
                  <c:v>26060.799999999999</c:v>
                </c:pt>
                <c:pt idx="2">
                  <c:v>26190</c:v>
                </c:pt>
                <c:pt idx="3">
                  <c:v>14905</c:v>
                </c:pt>
                <c:pt idx="4">
                  <c:v>22999.847058823529</c:v>
                </c:pt>
                <c:pt idx="5">
                  <c:v>2948.3305882352943</c:v>
                </c:pt>
                <c:pt idx="6">
                  <c:v>34266.607843137259</c:v>
                </c:pt>
                <c:pt idx="7">
                  <c:v>0</c:v>
                </c:pt>
                <c:pt idx="8">
                  <c:v>36361.666666666664</c:v>
                </c:pt>
                <c:pt idx="9">
                  <c:v>6626.5833333333339</c:v>
                </c:pt>
                <c:pt idx="10">
                  <c:v>24088.95</c:v>
                </c:pt>
                <c:pt idx="11">
                  <c:v>12135.4</c:v>
                </c:pt>
                <c:pt idx="12">
                  <c:v>36132.85</c:v>
                </c:pt>
                <c:pt idx="13">
                  <c:v>24594.6</c:v>
                </c:pt>
                <c:pt idx="14">
                  <c:v>0</c:v>
                </c:pt>
                <c:pt idx="15">
                  <c:v>6115.8</c:v>
                </c:pt>
                <c:pt idx="16">
                  <c:v>23557.1</c:v>
                </c:pt>
                <c:pt idx="17">
                  <c:v>2891.7</c:v>
                </c:pt>
                <c:pt idx="18">
                  <c:v>21055.855555555558</c:v>
                </c:pt>
                <c:pt idx="19">
                  <c:v>22460.588235294119</c:v>
                </c:pt>
                <c:pt idx="20">
                  <c:v>3618.2186274509804</c:v>
                </c:pt>
                <c:pt idx="21">
                  <c:v>0</c:v>
                </c:pt>
                <c:pt idx="22">
                  <c:v>11422.777777777777</c:v>
                </c:pt>
                <c:pt idx="23">
                  <c:v>65756.399999999994</c:v>
                </c:pt>
                <c:pt idx="24">
                  <c:v>41752.444444444438</c:v>
                </c:pt>
                <c:pt idx="25">
                  <c:v>14617.5</c:v>
                </c:pt>
                <c:pt idx="26">
                  <c:v>19298.088235294119</c:v>
                </c:pt>
                <c:pt idx="27">
                  <c:v>33962.5</c:v>
                </c:pt>
                <c:pt idx="28">
                  <c:v>0</c:v>
                </c:pt>
                <c:pt idx="29">
                  <c:v>48477.95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9-402E-B3C0-AF1CE71C87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Diaria'!$A$317:$B$346</c:f>
              <c:multiLvlStrCache>
                <c:ptCount val="30"/>
                <c:lvl>
                  <c:pt idx="0">
                    <c:v>01/11/2020</c:v>
                  </c:pt>
                  <c:pt idx="1">
                    <c:v>02/11/2020</c:v>
                  </c:pt>
                  <c:pt idx="2">
                    <c:v>03/11/2020</c:v>
                  </c:pt>
                  <c:pt idx="3">
                    <c:v>04/11/2020</c:v>
                  </c:pt>
                  <c:pt idx="4">
                    <c:v>05/11/2020</c:v>
                  </c:pt>
                  <c:pt idx="5">
                    <c:v>06/11/2020</c:v>
                  </c:pt>
                  <c:pt idx="6">
                    <c:v>07/11/2020</c:v>
                  </c:pt>
                  <c:pt idx="7">
                    <c:v>08/11/2020</c:v>
                  </c:pt>
                  <c:pt idx="8">
                    <c:v>09/11/2020</c:v>
                  </c:pt>
                  <c:pt idx="9">
                    <c:v>10/11/2020</c:v>
                  </c:pt>
                  <c:pt idx="10">
                    <c:v>11/11/2020</c:v>
                  </c:pt>
                  <c:pt idx="11">
                    <c:v>12/11/2020</c:v>
                  </c:pt>
                  <c:pt idx="12">
                    <c:v>13/11/2020</c:v>
                  </c:pt>
                  <c:pt idx="13">
                    <c:v>14/11/2020</c:v>
                  </c:pt>
                  <c:pt idx="14">
                    <c:v>15/11/2020</c:v>
                  </c:pt>
                  <c:pt idx="15">
                    <c:v>16/11/2020</c:v>
                  </c:pt>
                  <c:pt idx="16">
                    <c:v>17/11/2020</c:v>
                  </c:pt>
                  <c:pt idx="17">
                    <c:v>18/11/2020</c:v>
                  </c:pt>
                  <c:pt idx="18">
                    <c:v>19/11/2020</c:v>
                  </c:pt>
                  <c:pt idx="19">
                    <c:v>20/11/2020</c:v>
                  </c:pt>
                  <c:pt idx="20">
                    <c:v>21/11/2020</c:v>
                  </c:pt>
                  <c:pt idx="21">
                    <c:v>22/11/2020</c:v>
                  </c:pt>
                  <c:pt idx="22">
                    <c:v>23/11/2020</c:v>
                  </c:pt>
                  <c:pt idx="23">
                    <c:v>24/11/2020</c:v>
                  </c:pt>
                  <c:pt idx="24">
                    <c:v>25/11/2020</c:v>
                  </c:pt>
                  <c:pt idx="25">
                    <c:v>26/11/2020</c:v>
                  </c:pt>
                  <c:pt idx="26">
                    <c:v>27/11/2020</c:v>
                  </c:pt>
                  <c:pt idx="27">
                    <c:v>28/11/2020</c:v>
                  </c:pt>
                  <c:pt idx="28">
                    <c:v>29/11/2020</c:v>
                  </c:pt>
                  <c:pt idx="29">
                    <c:v>30/11/2020</c:v>
                  </c:pt>
                </c:lvl>
                <c:lvl>
                  <c:pt idx="0">
                    <c:v>Noviembre</c:v>
                  </c:pt>
                </c:lvl>
              </c:multiLvlStrCache>
            </c:multiLvlStrRef>
          </c:cat>
          <c:val>
            <c:numRef>
              <c:f>'Tendencia Diaria'!$D$317:$D$346</c:f>
              <c:numCache>
                <c:formatCode>General</c:formatCode>
                <c:ptCount val="30"/>
                <c:pt idx="0">
                  <c:v>0</c:v>
                </c:pt>
                <c:pt idx="1">
                  <c:v>2927.52</c:v>
                </c:pt>
                <c:pt idx="2">
                  <c:v>2974</c:v>
                </c:pt>
                <c:pt idx="3">
                  <c:v>2021.3000000000002</c:v>
                </c:pt>
                <c:pt idx="4">
                  <c:v>2706.0423529411764</c:v>
                </c:pt>
                <c:pt idx="5">
                  <c:v>378.77952941176477</c:v>
                </c:pt>
                <c:pt idx="6">
                  <c:v>4670.758169934641</c:v>
                </c:pt>
                <c:pt idx="7">
                  <c:v>0</c:v>
                </c:pt>
                <c:pt idx="8">
                  <c:v>4569.1111111111113</c:v>
                </c:pt>
                <c:pt idx="9">
                  <c:v>1500.7522222222221</c:v>
                </c:pt>
                <c:pt idx="10">
                  <c:v>4449.8933333333352</c:v>
                </c:pt>
                <c:pt idx="11">
                  <c:v>1818.5333333333335</c:v>
                </c:pt>
                <c:pt idx="12">
                  <c:v>4679.786666666665</c:v>
                </c:pt>
                <c:pt idx="13">
                  <c:v>4043.32</c:v>
                </c:pt>
                <c:pt idx="14">
                  <c:v>0</c:v>
                </c:pt>
                <c:pt idx="15">
                  <c:v>890.30666666666662</c:v>
                </c:pt>
                <c:pt idx="16">
                  <c:v>2988.54</c:v>
                </c:pt>
                <c:pt idx="17">
                  <c:v>596.04999999999995</c:v>
                </c:pt>
                <c:pt idx="18">
                  <c:v>2759.7277777777776</c:v>
                </c:pt>
                <c:pt idx="19">
                  <c:v>3341.5294117647059</c:v>
                </c:pt>
                <c:pt idx="20">
                  <c:v>519.69509803921574</c:v>
                </c:pt>
                <c:pt idx="21">
                  <c:v>0</c:v>
                </c:pt>
                <c:pt idx="22">
                  <c:v>1767.2777777777778</c:v>
                </c:pt>
                <c:pt idx="23">
                  <c:v>7983.8266666666677</c:v>
                </c:pt>
                <c:pt idx="24">
                  <c:v>5638.1777777777779</c:v>
                </c:pt>
                <c:pt idx="25">
                  <c:v>2087.666666666667</c:v>
                </c:pt>
                <c:pt idx="26">
                  <c:v>3826.8227450980394</c:v>
                </c:pt>
                <c:pt idx="27">
                  <c:v>5885.5000000000009</c:v>
                </c:pt>
                <c:pt idx="28">
                  <c:v>0</c:v>
                </c:pt>
                <c:pt idx="29">
                  <c:v>6337.1933333333336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9-402E-B3C0-AF1CE71C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889647"/>
        <c:axId val="552893391"/>
        <c:axId val="0"/>
      </c:bar3DChart>
      <c:catAx>
        <c:axId val="55288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93391"/>
        <c:crosses val="autoZero"/>
        <c:auto val="1"/>
        <c:lblAlgn val="ctr"/>
        <c:lblOffset val="100"/>
        <c:noMultiLvlLbl val="0"/>
      </c:catAx>
      <c:valAx>
        <c:axId val="5528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Tendencia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Diaria'!$A$348:$B$378</c:f>
              <c:multiLvlStrCache>
                <c:ptCount val="31"/>
                <c:lvl>
                  <c:pt idx="0">
                    <c:v>01/12/2020</c:v>
                  </c:pt>
                  <c:pt idx="1">
                    <c:v>02/12/2020</c:v>
                  </c:pt>
                  <c:pt idx="2">
                    <c:v>03/12/2020</c:v>
                  </c:pt>
                  <c:pt idx="3">
                    <c:v>04/12/2020</c:v>
                  </c:pt>
                  <c:pt idx="4">
                    <c:v>05/12/2020</c:v>
                  </c:pt>
                  <c:pt idx="5">
                    <c:v>06/12/2020</c:v>
                  </c:pt>
                  <c:pt idx="6">
                    <c:v>07/12/2020</c:v>
                  </c:pt>
                  <c:pt idx="7">
                    <c:v>08/12/2020</c:v>
                  </c:pt>
                  <c:pt idx="8">
                    <c:v>09/12/2020</c:v>
                  </c:pt>
                  <c:pt idx="9">
                    <c:v>10/12/2020</c:v>
                  </c:pt>
                  <c:pt idx="10">
                    <c:v>11/12/2020</c:v>
                  </c:pt>
                  <c:pt idx="11">
                    <c:v>12/12/2020</c:v>
                  </c:pt>
                  <c:pt idx="12">
                    <c:v>13/12/2020</c:v>
                  </c:pt>
                  <c:pt idx="13">
                    <c:v>14/12/2020</c:v>
                  </c:pt>
                  <c:pt idx="14">
                    <c:v>15/12/2020</c:v>
                  </c:pt>
                  <c:pt idx="15">
                    <c:v>16/12/2020</c:v>
                  </c:pt>
                  <c:pt idx="16">
                    <c:v>17/12/2020</c:v>
                  </c:pt>
                  <c:pt idx="17">
                    <c:v>18/12/2020</c:v>
                  </c:pt>
                  <c:pt idx="18">
                    <c:v>19/12/2020</c:v>
                  </c:pt>
                  <c:pt idx="19">
                    <c:v>20/12/2020</c:v>
                  </c:pt>
                  <c:pt idx="20">
                    <c:v>21/12/2020</c:v>
                  </c:pt>
                  <c:pt idx="21">
                    <c:v>22/12/2020</c:v>
                  </c:pt>
                  <c:pt idx="22">
                    <c:v>23/12/2020</c:v>
                  </c:pt>
                  <c:pt idx="23">
                    <c:v>24/12/2020</c:v>
                  </c:pt>
                  <c:pt idx="24">
                    <c:v>25/12/2020</c:v>
                  </c:pt>
                  <c:pt idx="25">
                    <c:v>26/12/2020</c:v>
                  </c:pt>
                  <c:pt idx="26">
                    <c:v>27/12/2020</c:v>
                  </c:pt>
                  <c:pt idx="27">
                    <c:v>28/12/2020</c:v>
                  </c:pt>
                  <c:pt idx="28">
                    <c:v>29/12/2020</c:v>
                  </c:pt>
                  <c:pt idx="29">
                    <c:v>30/12/2020</c:v>
                  </c:pt>
                  <c:pt idx="30">
                    <c:v>31/12/2020</c:v>
                  </c:pt>
                </c:lvl>
                <c:lvl>
                  <c:pt idx="0">
                    <c:v>Diciembre</c:v>
                  </c:pt>
                </c:lvl>
              </c:multiLvlStrCache>
            </c:multiLvlStrRef>
          </c:cat>
          <c:val>
            <c:numRef>
              <c:f>'Tendencia Diaria'!$C$348:$C$378</c:f>
              <c:numCache>
                <c:formatCode>General</c:formatCode>
                <c:ptCount val="31"/>
                <c:pt idx="0">
                  <c:v>12748.75</c:v>
                </c:pt>
                <c:pt idx="1">
                  <c:v>10310</c:v>
                </c:pt>
                <c:pt idx="2">
                  <c:v>22874.991496598643</c:v>
                </c:pt>
                <c:pt idx="3">
                  <c:v>17118.883333333331</c:v>
                </c:pt>
                <c:pt idx="4">
                  <c:v>25680</c:v>
                </c:pt>
                <c:pt idx="5">
                  <c:v>0</c:v>
                </c:pt>
                <c:pt idx="6">
                  <c:v>33777.82</c:v>
                </c:pt>
                <c:pt idx="7">
                  <c:v>0</c:v>
                </c:pt>
                <c:pt idx="8">
                  <c:v>20085</c:v>
                </c:pt>
                <c:pt idx="9">
                  <c:v>33713.5</c:v>
                </c:pt>
                <c:pt idx="10">
                  <c:v>28917.916666666668</c:v>
                </c:pt>
                <c:pt idx="11">
                  <c:v>15613.833333333332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D-4E6A-BEEA-90F8EA238B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Diaria'!$A$348:$B$378</c:f>
              <c:multiLvlStrCache>
                <c:ptCount val="31"/>
                <c:lvl>
                  <c:pt idx="0">
                    <c:v>01/12/2020</c:v>
                  </c:pt>
                  <c:pt idx="1">
                    <c:v>02/12/2020</c:v>
                  </c:pt>
                  <c:pt idx="2">
                    <c:v>03/12/2020</c:v>
                  </c:pt>
                  <c:pt idx="3">
                    <c:v>04/12/2020</c:v>
                  </c:pt>
                  <c:pt idx="4">
                    <c:v>05/12/2020</c:v>
                  </c:pt>
                  <c:pt idx="5">
                    <c:v>06/12/2020</c:v>
                  </c:pt>
                  <c:pt idx="6">
                    <c:v>07/12/2020</c:v>
                  </c:pt>
                  <c:pt idx="7">
                    <c:v>08/12/2020</c:v>
                  </c:pt>
                  <c:pt idx="8">
                    <c:v>09/12/2020</c:v>
                  </c:pt>
                  <c:pt idx="9">
                    <c:v>10/12/2020</c:v>
                  </c:pt>
                  <c:pt idx="10">
                    <c:v>11/12/2020</c:v>
                  </c:pt>
                  <c:pt idx="11">
                    <c:v>12/12/2020</c:v>
                  </c:pt>
                  <c:pt idx="12">
                    <c:v>13/12/2020</c:v>
                  </c:pt>
                  <c:pt idx="13">
                    <c:v>14/12/2020</c:v>
                  </c:pt>
                  <c:pt idx="14">
                    <c:v>15/12/2020</c:v>
                  </c:pt>
                  <c:pt idx="15">
                    <c:v>16/12/2020</c:v>
                  </c:pt>
                  <c:pt idx="16">
                    <c:v>17/12/2020</c:v>
                  </c:pt>
                  <c:pt idx="17">
                    <c:v>18/12/2020</c:v>
                  </c:pt>
                  <c:pt idx="18">
                    <c:v>19/12/2020</c:v>
                  </c:pt>
                  <c:pt idx="19">
                    <c:v>20/12/2020</c:v>
                  </c:pt>
                  <c:pt idx="20">
                    <c:v>21/12/2020</c:v>
                  </c:pt>
                  <c:pt idx="21">
                    <c:v>22/12/2020</c:v>
                  </c:pt>
                  <c:pt idx="22">
                    <c:v>23/12/2020</c:v>
                  </c:pt>
                  <c:pt idx="23">
                    <c:v>24/12/2020</c:v>
                  </c:pt>
                  <c:pt idx="24">
                    <c:v>25/12/2020</c:v>
                  </c:pt>
                  <c:pt idx="25">
                    <c:v>26/12/2020</c:v>
                  </c:pt>
                  <c:pt idx="26">
                    <c:v>27/12/2020</c:v>
                  </c:pt>
                  <c:pt idx="27">
                    <c:v>28/12/2020</c:v>
                  </c:pt>
                  <c:pt idx="28">
                    <c:v>29/12/2020</c:v>
                  </c:pt>
                  <c:pt idx="29">
                    <c:v>30/12/2020</c:v>
                  </c:pt>
                  <c:pt idx="30">
                    <c:v>31/12/2020</c:v>
                  </c:pt>
                </c:lvl>
                <c:lvl>
                  <c:pt idx="0">
                    <c:v>Diciembre</c:v>
                  </c:pt>
                </c:lvl>
              </c:multiLvlStrCache>
            </c:multiLvlStrRef>
          </c:cat>
          <c:val>
            <c:numRef>
              <c:f>'Tendencia Diaria'!$D$348:$D$378</c:f>
              <c:numCache>
                <c:formatCode>General</c:formatCode>
                <c:ptCount val="31"/>
                <c:pt idx="0">
                  <c:v>1474.2286666666669</c:v>
                </c:pt>
                <c:pt idx="1">
                  <c:v>1568.3333333333333</c:v>
                </c:pt>
                <c:pt idx="2">
                  <c:v>4358.646780045352</c:v>
                </c:pt>
                <c:pt idx="3">
                  <c:v>2285.5355555555557</c:v>
                </c:pt>
                <c:pt idx="4">
                  <c:v>3580.3684444444439</c:v>
                </c:pt>
                <c:pt idx="5">
                  <c:v>0</c:v>
                </c:pt>
                <c:pt idx="6">
                  <c:v>6060.5690666666651</c:v>
                </c:pt>
                <c:pt idx="7">
                  <c:v>0</c:v>
                </c:pt>
                <c:pt idx="8">
                  <c:v>2960.2433333333333</c:v>
                </c:pt>
                <c:pt idx="9">
                  <c:v>4281.12</c:v>
                </c:pt>
                <c:pt idx="10">
                  <c:v>3747.0544444444445</c:v>
                </c:pt>
                <c:pt idx="11">
                  <c:v>2005.7288888888893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D-4E6A-BEEA-90F8EA23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923471"/>
        <c:axId val="397923887"/>
        <c:axId val="0"/>
      </c:bar3DChart>
      <c:catAx>
        <c:axId val="3979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97923887"/>
        <c:crosses val="autoZero"/>
        <c:auto val="1"/>
        <c:lblAlgn val="ctr"/>
        <c:lblOffset val="100"/>
        <c:noMultiLvlLbl val="0"/>
      </c:catAx>
      <c:valAx>
        <c:axId val="3979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979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419"/>
              <a:t>Tendencia</a:t>
            </a:r>
            <a:r>
              <a:rPr lang="es-419" baseline="0"/>
              <a:t>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'Tendencia Semanal'!$I$1</c:f>
              <c:strCache>
                <c:ptCount val="1"/>
                <c:pt idx="0">
                  <c:v>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'Tendencia Semanal'!$H$2:$H$13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'Tendencia Semanal'!$I$2:$I$13</c:f>
              <c:numCache>
                <c:formatCode>General</c:formatCode>
                <c:ptCount val="12"/>
                <c:pt idx="0">
                  <c:v>538962.45938720088</c:v>
                </c:pt>
                <c:pt idx="1">
                  <c:v>623135.87023288733</c:v>
                </c:pt>
                <c:pt idx="2">
                  <c:v>525390.81284480949</c:v>
                </c:pt>
                <c:pt idx="3">
                  <c:v>307300.52498850675</c:v>
                </c:pt>
                <c:pt idx="4">
                  <c:v>184949.0273376017</c:v>
                </c:pt>
                <c:pt idx="5">
                  <c:v>317973.79051792074</c:v>
                </c:pt>
                <c:pt idx="6">
                  <c:v>492839.95114379085</c:v>
                </c:pt>
                <c:pt idx="7">
                  <c:v>428937.52509470453</c:v>
                </c:pt>
                <c:pt idx="8">
                  <c:v>480722.14369717584</c:v>
                </c:pt>
                <c:pt idx="9">
                  <c:v>536284.74111978128</c:v>
                </c:pt>
                <c:pt idx="10">
                  <c:v>582297.55836601311</c:v>
                </c:pt>
                <c:pt idx="11">
                  <c:v>220840.69482993195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F-4797-AFB6-DFC1F7DD7141}"/>
            </c:ext>
          </c:extLst>
        </c:ser>
        <c:ser>
          <c:idx val="1"/>
          <c:order val="1"/>
          <c:tx>
            <c:strRef>
              <c:f>'Tendencia Semanal'!$J$1</c:f>
              <c:strCache>
                <c:ptCount val="1"/>
                <c:pt idx="0">
                  <c:v>Utilidad Neta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'Tendencia Semanal'!$H$2:$H$13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'Tendencia Semanal'!$J$2:$J$13</c:f>
              <c:numCache>
                <c:formatCode>General</c:formatCode>
                <c:ptCount val="12"/>
                <c:pt idx="0">
                  <c:v>81604.272917551643</c:v>
                </c:pt>
                <c:pt idx="1">
                  <c:v>96014.141499804362</c:v>
                </c:pt>
                <c:pt idx="2">
                  <c:v>80730.771402283193</c:v>
                </c:pt>
                <c:pt idx="3">
                  <c:v>45646.842665869895</c:v>
                </c:pt>
                <c:pt idx="4">
                  <c:v>28739.391062513892</c:v>
                </c:pt>
                <c:pt idx="5">
                  <c:v>51402.520638611648</c:v>
                </c:pt>
                <c:pt idx="6">
                  <c:v>76042.638862745109</c:v>
                </c:pt>
                <c:pt idx="7">
                  <c:v>65331.052591369895</c:v>
                </c:pt>
                <c:pt idx="8">
                  <c:v>76913.406968150899</c:v>
                </c:pt>
                <c:pt idx="9">
                  <c:v>75381.217552020811</c:v>
                </c:pt>
                <c:pt idx="10">
                  <c:v>81362.110640522878</c:v>
                </c:pt>
                <c:pt idx="11">
                  <c:v>32321.828513378689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F-4797-AFB6-DFC1F7DD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618368"/>
        <c:axId val="1811622528"/>
      </c:barChart>
      <c:catAx>
        <c:axId val="181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11622528"/>
        <c:crosses val="autoZero"/>
        <c:auto val="1"/>
        <c:lblAlgn val="ctr"/>
        <c:lblOffset val="100"/>
        <c:noMultiLvlLbl val="0"/>
      </c:catAx>
      <c:valAx>
        <c:axId val="18116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116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Ventas</a:t>
            </a:r>
            <a:r>
              <a:rPr lang="es-419" baseline="0"/>
              <a:t> y Utilidad Neta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'Tendencia Semanal'!$I$1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'Tendencia Semanal'!$H$2:$H$13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'Tendencia Semanal'!$I$2:$I$13</c:f>
              <c:numCache>
                <c:formatCode>General</c:formatCode>
                <c:ptCount val="12"/>
                <c:pt idx="0">
                  <c:v>538962.45938720088</c:v>
                </c:pt>
                <c:pt idx="1">
                  <c:v>623135.87023288733</c:v>
                </c:pt>
                <c:pt idx="2">
                  <c:v>525390.81284480949</c:v>
                </c:pt>
                <c:pt idx="3">
                  <c:v>307300.52498850675</c:v>
                </c:pt>
                <c:pt idx="4">
                  <c:v>184949.0273376017</c:v>
                </c:pt>
                <c:pt idx="5">
                  <c:v>317973.79051792074</c:v>
                </c:pt>
                <c:pt idx="6">
                  <c:v>492839.95114379085</c:v>
                </c:pt>
                <c:pt idx="7">
                  <c:v>428937.52509470453</c:v>
                </c:pt>
                <c:pt idx="8">
                  <c:v>480722.14369717584</c:v>
                </c:pt>
                <c:pt idx="9">
                  <c:v>536284.74111978128</c:v>
                </c:pt>
                <c:pt idx="10">
                  <c:v>582297.55836601311</c:v>
                </c:pt>
                <c:pt idx="11">
                  <c:v>220840.69482993195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B-4A4E-8E7E-405A0DC6CCA0}"/>
            </c:ext>
          </c:extLst>
        </c:ser>
        <c:ser>
          <c:idx val="1"/>
          <c:order val="1"/>
          <c:tx>
            <c:strRef>
              <c:f>'Tendencia Semanal'!$J$1</c:f>
              <c:strCache>
                <c:ptCount val="1"/>
                <c:pt idx="0">
                  <c:v>Utilidad Neta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'Tendencia Semanal'!$H$2:$H$13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'Tendencia Semanal'!$J$2:$J$13</c:f>
              <c:numCache>
                <c:formatCode>General</c:formatCode>
                <c:ptCount val="12"/>
                <c:pt idx="0">
                  <c:v>81604.272917551643</c:v>
                </c:pt>
                <c:pt idx="1">
                  <c:v>96014.141499804362</c:v>
                </c:pt>
                <c:pt idx="2">
                  <c:v>80730.771402283193</c:v>
                </c:pt>
                <c:pt idx="3">
                  <c:v>45646.842665869895</c:v>
                </c:pt>
                <c:pt idx="4">
                  <c:v>28739.391062513892</c:v>
                </c:pt>
                <c:pt idx="5">
                  <c:v>51402.520638611648</c:v>
                </c:pt>
                <c:pt idx="6">
                  <c:v>76042.638862745109</c:v>
                </c:pt>
                <c:pt idx="7">
                  <c:v>65331.052591369895</c:v>
                </c:pt>
                <c:pt idx="8">
                  <c:v>76913.406968150899</c:v>
                </c:pt>
                <c:pt idx="9">
                  <c:v>75381.217552020811</c:v>
                </c:pt>
                <c:pt idx="10">
                  <c:v>81362.110640522878</c:v>
                </c:pt>
                <c:pt idx="11">
                  <c:v>32321.828513378689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B-4A4E-8E7E-405A0DC6C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202192"/>
        <c:axId val="1811210928"/>
      </c:lineChart>
      <c:catAx>
        <c:axId val="18112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11210928"/>
        <c:crosses val="autoZero"/>
        <c:auto val="1"/>
        <c:lblAlgn val="ctr"/>
        <c:lblOffset val="100"/>
        <c:noMultiLvlLbl val="0"/>
      </c:catAx>
      <c:valAx>
        <c:axId val="1811210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12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Tendencia Diaria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Diaria'!$A$34:$B$62</c:f>
              <c:multiLvlStrCache>
                <c:ptCount val="29"/>
                <c:lvl>
                  <c:pt idx="0">
                    <c:v>01/02/2020</c:v>
                  </c:pt>
                  <c:pt idx="1">
                    <c:v>02/02/2020</c:v>
                  </c:pt>
                  <c:pt idx="2">
                    <c:v>03/02/2020</c:v>
                  </c:pt>
                  <c:pt idx="3">
                    <c:v>04/02/2020</c:v>
                  </c:pt>
                  <c:pt idx="4">
                    <c:v>05/02/2020</c:v>
                  </c:pt>
                  <c:pt idx="5">
                    <c:v>06/02/2020</c:v>
                  </c:pt>
                  <c:pt idx="6">
                    <c:v>07/02/2020</c:v>
                  </c:pt>
                  <c:pt idx="7">
                    <c:v>08/02/2020</c:v>
                  </c:pt>
                  <c:pt idx="8">
                    <c:v>09/02/2020</c:v>
                  </c:pt>
                  <c:pt idx="9">
                    <c:v>10/02/2020</c:v>
                  </c:pt>
                  <c:pt idx="10">
                    <c:v>11/02/2020</c:v>
                  </c:pt>
                  <c:pt idx="11">
                    <c:v>12/02/2020</c:v>
                  </c:pt>
                  <c:pt idx="12">
                    <c:v>13/02/2020</c:v>
                  </c:pt>
                  <c:pt idx="13">
                    <c:v>14/02/2020</c:v>
                  </c:pt>
                  <c:pt idx="14">
                    <c:v>15/02/2020</c:v>
                  </c:pt>
                  <c:pt idx="15">
                    <c:v>16/02/2020</c:v>
                  </c:pt>
                  <c:pt idx="16">
                    <c:v>17/02/2020</c:v>
                  </c:pt>
                  <c:pt idx="17">
                    <c:v>18/02/2020</c:v>
                  </c:pt>
                  <c:pt idx="18">
                    <c:v>19/02/2020</c:v>
                  </c:pt>
                  <c:pt idx="19">
                    <c:v>20/02/2020</c:v>
                  </c:pt>
                  <c:pt idx="20">
                    <c:v>21/02/2020</c:v>
                  </c:pt>
                  <c:pt idx="21">
                    <c:v>22/02/2020</c:v>
                  </c:pt>
                  <c:pt idx="22">
                    <c:v>23/02/2020</c:v>
                  </c:pt>
                  <c:pt idx="23">
                    <c:v>24/02/2020</c:v>
                  </c:pt>
                  <c:pt idx="24">
                    <c:v>25/02/2020</c:v>
                  </c:pt>
                  <c:pt idx="25">
                    <c:v>26/02/2020</c:v>
                  </c:pt>
                  <c:pt idx="26">
                    <c:v>27/02/2020</c:v>
                  </c:pt>
                  <c:pt idx="27">
                    <c:v>28/02/2020</c:v>
                  </c:pt>
                  <c:pt idx="28">
                    <c:v>29/02/2020</c:v>
                  </c:pt>
                </c:lvl>
                <c:lvl>
                  <c:pt idx="0">
                    <c:v>Febrero</c:v>
                  </c:pt>
                </c:lvl>
              </c:multiLvlStrCache>
            </c:multiLvlStrRef>
          </c:cat>
          <c:val>
            <c:numRef>
              <c:f>'Tendencia Diaria'!$C$34:$C$62</c:f>
              <c:numCache>
                <c:formatCode>General</c:formatCode>
                <c:ptCount val="29"/>
                <c:pt idx="0">
                  <c:v>29814.400000000001</c:v>
                </c:pt>
                <c:pt idx="1">
                  <c:v>0</c:v>
                </c:pt>
                <c:pt idx="2">
                  <c:v>9550</c:v>
                </c:pt>
                <c:pt idx="3">
                  <c:v>33047.013071895424</c:v>
                </c:pt>
                <c:pt idx="4">
                  <c:v>37656.199999999997</c:v>
                </c:pt>
                <c:pt idx="5">
                  <c:v>5024.3215686274507</c:v>
                </c:pt>
                <c:pt idx="6">
                  <c:v>30971.111111111109</c:v>
                </c:pt>
                <c:pt idx="7">
                  <c:v>14730.17973856209</c:v>
                </c:pt>
                <c:pt idx="8">
                  <c:v>0</c:v>
                </c:pt>
                <c:pt idx="9">
                  <c:v>27937.767320261439</c:v>
                </c:pt>
                <c:pt idx="10">
                  <c:v>20133.373202614377</c:v>
                </c:pt>
                <c:pt idx="11">
                  <c:v>38846.400000000001</c:v>
                </c:pt>
                <c:pt idx="12">
                  <c:v>2876.3444444444444</c:v>
                </c:pt>
                <c:pt idx="13">
                  <c:v>15305.017647058823</c:v>
                </c:pt>
                <c:pt idx="14">
                  <c:v>16275.7</c:v>
                </c:pt>
                <c:pt idx="15">
                  <c:v>0</c:v>
                </c:pt>
                <c:pt idx="16">
                  <c:v>56496.9</c:v>
                </c:pt>
                <c:pt idx="17">
                  <c:v>13532.222222222223</c:v>
                </c:pt>
                <c:pt idx="18">
                  <c:v>21881.415686274511</c:v>
                </c:pt>
                <c:pt idx="19">
                  <c:v>30100.294117647059</c:v>
                </c:pt>
                <c:pt idx="20">
                  <c:v>9685.9058823529413</c:v>
                </c:pt>
                <c:pt idx="21">
                  <c:v>55376.264219815486</c:v>
                </c:pt>
                <c:pt idx="22">
                  <c:v>0</c:v>
                </c:pt>
                <c:pt idx="23">
                  <c:v>13093.64</c:v>
                </c:pt>
                <c:pt idx="24">
                  <c:v>26258.444444444442</c:v>
                </c:pt>
                <c:pt idx="25">
                  <c:v>55615.05</c:v>
                </c:pt>
                <c:pt idx="26">
                  <c:v>39929.616666666669</c:v>
                </c:pt>
                <c:pt idx="27">
                  <c:v>6365.5555555555557</c:v>
                </c:pt>
                <c:pt idx="28">
                  <c:v>12632.733333333332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F-408F-A043-F375B96E24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Diaria'!$A$34:$B$62</c:f>
              <c:multiLvlStrCache>
                <c:ptCount val="29"/>
                <c:lvl>
                  <c:pt idx="0">
                    <c:v>01/02/2020</c:v>
                  </c:pt>
                  <c:pt idx="1">
                    <c:v>02/02/2020</c:v>
                  </c:pt>
                  <c:pt idx="2">
                    <c:v>03/02/2020</c:v>
                  </c:pt>
                  <c:pt idx="3">
                    <c:v>04/02/2020</c:v>
                  </c:pt>
                  <c:pt idx="4">
                    <c:v>05/02/2020</c:v>
                  </c:pt>
                  <c:pt idx="5">
                    <c:v>06/02/2020</c:v>
                  </c:pt>
                  <c:pt idx="6">
                    <c:v>07/02/2020</c:v>
                  </c:pt>
                  <c:pt idx="7">
                    <c:v>08/02/2020</c:v>
                  </c:pt>
                  <c:pt idx="8">
                    <c:v>09/02/2020</c:v>
                  </c:pt>
                  <c:pt idx="9">
                    <c:v>10/02/2020</c:v>
                  </c:pt>
                  <c:pt idx="10">
                    <c:v>11/02/2020</c:v>
                  </c:pt>
                  <c:pt idx="11">
                    <c:v>12/02/2020</c:v>
                  </c:pt>
                  <c:pt idx="12">
                    <c:v>13/02/2020</c:v>
                  </c:pt>
                  <c:pt idx="13">
                    <c:v>14/02/2020</c:v>
                  </c:pt>
                  <c:pt idx="14">
                    <c:v>15/02/2020</c:v>
                  </c:pt>
                  <c:pt idx="15">
                    <c:v>16/02/2020</c:v>
                  </c:pt>
                  <c:pt idx="16">
                    <c:v>17/02/2020</c:v>
                  </c:pt>
                  <c:pt idx="17">
                    <c:v>18/02/2020</c:v>
                  </c:pt>
                  <c:pt idx="18">
                    <c:v>19/02/2020</c:v>
                  </c:pt>
                  <c:pt idx="19">
                    <c:v>20/02/2020</c:v>
                  </c:pt>
                  <c:pt idx="20">
                    <c:v>21/02/2020</c:v>
                  </c:pt>
                  <c:pt idx="21">
                    <c:v>22/02/2020</c:v>
                  </c:pt>
                  <c:pt idx="22">
                    <c:v>23/02/2020</c:v>
                  </c:pt>
                  <c:pt idx="23">
                    <c:v>24/02/2020</c:v>
                  </c:pt>
                  <c:pt idx="24">
                    <c:v>25/02/2020</c:v>
                  </c:pt>
                  <c:pt idx="25">
                    <c:v>26/02/2020</c:v>
                  </c:pt>
                  <c:pt idx="26">
                    <c:v>27/02/2020</c:v>
                  </c:pt>
                  <c:pt idx="27">
                    <c:v>28/02/2020</c:v>
                  </c:pt>
                  <c:pt idx="28">
                    <c:v>29/02/2020</c:v>
                  </c:pt>
                </c:lvl>
                <c:lvl>
                  <c:pt idx="0">
                    <c:v>Febrero</c:v>
                  </c:pt>
                </c:lvl>
              </c:multiLvlStrCache>
            </c:multiLvlStrRef>
          </c:cat>
          <c:val>
            <c:numRef>
              <c:f>'Tendencia Diaria'!$D$34:$D$62</c:f>
              <c:numCache>
                <c:formatCode>General</c:formatCode>
                <c:ptCount val="29"/>
                <c:pt idx="0">
                  <c:v>4079.0719999999992</c:v>
                </c:pt>
                <c:pt idx="1">
                  <c:v>0</c:v>
                </c:pt>
                <c:pt idx="2">
                  <c:v>1223</c:v>
                </c:pt>
                <c:pt idx="3">
                  <c:v>4839.9246623093686</c:v>
                </c:pt>
                <c:pt idx="4">
                  <c:v>6127.0693333333329</c:v>
                </c:pt>
                <c:pt idx="5">
                  <c:v>1027.5231372549019</c:v>
                </c:pt>
                <c:pt idx="6">
                  <c:v>5040.5848888888886</c:v>
                </c:pt>
                <c:pt idx="7">
                  <c:v>2865.0380373093681</c:v>
                </c:pt>
                <c:pt idx="8">
                  <c:v>0</c:v>
                </c:pt>
                <c:pt idx="9">
                  <c:v>4731.0128627450986</c:v>
                </c:pt>
                <c:pt idx="10">
                  <c:v>3622.1167755991278</c:v>
                </c:pt>
                <c:pt idx="11">
                  <c:v>5778.8638888888891</c:v>
                </c:pt>
                <c:pt idx="12">
                  <c:v>734.24222222222227</c:v>
                </c:pt>
                <c:pt idx="13">
                  <c:v>3205.5712941176466</c:v>
                </c:pt>
                <c:pt idx="14">
                  <c:v>2482.3933333333334</c:v>
                </c:pt>
                <c:pt idx="15">
                  <c:v>0</c:v>
                </c:pt>
                <c:pt idx="16">
                  <c:v>7521.4413333333323</c:v>
                </c:pt>
                <c:pt idx="17">
                  <c:v>2320.4444444444443</c:v>
                </c:pt>
                <c:pt idx="18">
                  <c:v>3717.2321568627449</c:v>
                </c:pt>
                <c:pt idx="19">
                  <c:v>3973.6862745098042</c:v>
                </c:pt>
                <c:pt idx="20">
                  <c:v>2162.1181699346407</c:v>
                </c:pt>
                <c:pt idx="21">
                  <c:v>9794.0161291616532</c:v>
                </c:pt>
                <c:pt idx="22">
                  <c:v>0</c:v>
                </c:pt>
                <c:pt idx="23">
                  <c:v>2307.1939999999995</c:v>
                </c:pt>
                <c:pt idx="24">
                  <c:v>4807.2515555555556</c:v>
                </c:pt>
                <c:pt idx="25">
                  <c:v>6062.8950000000004</c:v>
                </c:pt>
                <c:pt idx="26">
                  <c:v>4627.9411111111112</c:v>
                </c:pt>
                <c:pt idx="27">
                  <c:v>829.91666666666663</c:v>
                </c:pt>
                <c:pt idx="28">
                  <c:v>2133.5922222222225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F-408F-A043-F375B96E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3138783"/>
        <c:axId val="403129631"/>
        <c:axId val="0"/>
      </c:bar3DChart>
      <c:catAx>
        <c:axId val="40313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3129631"/>
        <c:crosses val="autoZero"/>
        <c:auto val="1"/>
        <c:lblAlgn val="ctr"/>
        <c:lblOffset val="100"/>
        <c:noMultiLvlLbl val="0"/>
      </c:catAx>
      <c:valAx>
        <c:axId val="4031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313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Tendencia</a:t>
            </a:r>
            <a:r>
              <a:rPr lang="es-419" baseline="0"/>
              <a:t>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Diaria'!$A$64:$B$94</c:f>
              <c:multiLvlStrCache>
                <c:ptCount val="31"/>
                <c:lvl>
                  <c:pt idx="0">
                    <c:v>01/03/2020</c:v>
                  </c:pt>
                  <c:pt idx="1">
                    <c:v>02/03/2020</c:v>
                  </c:pt>
                  <c:pt idx="2">
                    <c:v>03/03/2020</c:v>
                  </c:pt>
                  <c:pt idx="3">
                    <c:v>04/03/2020</c:v>
                  </c:pt>
                  <c:pt idx="4">
                    <c:v>05/03/2020</c:v>
                  </c:pt>
                  <c:pt idx="5">
                    <c:v>06/03/2020</c:v>
                  </c:pt>
                  <c:pt idx="6">
                    <c:v>07/03/2020</c:v>
                  </c:pt>
                  <c:pt idx="7">
                    <c:v>08/03/2020</c:v>
                  </c:pt>
                  <c:pt idx="8">
                    <c:v>09/03/2020</c:v>
                  </c:pt>
                  <c:pt idx="9">
                    <c:v>10/03/2020</c:v>
                  </c:pt>
                  <c:pt idx="10">
                    <c:v>11/03/2020</c:v>
                  </c:pt>
                  <c:pt idx="11">
                    <c:v>12/03/2020</c:v>
                  </c:pt>
                  <c:pt idx="12">
                    <c:v>13/03/2020</c:v>
                  </c:pt>
                  <c:pt idx="13">
                    <c:v>14/03/2020</c:v>
                  </c:pt>
                  <c:pt idx="14">
                    <c:v>15/03/2020</c:v>
                  </c:pt>
                  <c:pt idx="15">
                    <c:v>16/03/2020</c:v>
                  </c:pt>
                  <c:pt idx="16">
                    <c:v>17/03/2020</c:v>
                  </c:pt>
                  <c:pt idx="17">
                    <c:v>18/03/2020</c:v>
                  </c:pt>
                  <c:pt idx="18">
                    <c:v>19/03/2020</c:v>
                  </c:pt>
                  <c:pt idx="19">
                    <c:v>20/03/2020</c:v>
                  </c:pt>
                  <c:pt idx="20">
                    <c:v>21/03/2020</c:v>
                  </c:pt>
                  <c:pt idx="21">
                    <c:v>22/03/2020</c:v>
                  </c:pt>
                  <c:pt idx="22">
                    <c:v>23/03/2020</c:v>
                  </c:pt>
                  <c:pt idx="23">
                    <c:v>24/03/2020</c:v>
                  </c:pt>
                  <c:pt idx="24">
                    <c:v>25/03/2020</c:v>
                  </c:pt>
                  <c:pt idx="25">
                    <c:v>26/03/2020</c:v>
                  </c:pt>
                  <c:pt idx="26">
                    <c:v>27/03/2020</c:v>
                  </c:pt>
                  <c:pt idx="27">
                    <c:v>28/03/2020</c:v>
                  </c:pt>
                  <c:pt idx="28">
                    <c:v>29/03/2020</c:v>
                  </c:pt>
                  <c:pt idx="29">
                    <c:v>30/03/2020</c:v>
                  </c:pt>
                  <c:pt idx="30">
                    <c:v>31/03/2020</c:v>
                  </c:pt>
                </c:lvl>
                <c:lvl>
                  <c:pt idx="0">
                    <c:v>Marzo</c:v>
                  </c:pt>
                </c:lvl>
              </c:multiLvlStrCache>
            </c:multiLvlStrRef>
          </c:cat>
          <c:val>
            <c:numRef>
              <c:f>'Tendencia Diaria'!$C$64:$C$94</c:f>
              <c:numCache>
                <c:formatCode>General</c:formatCode>
                <c:ptCount val="31"/>
                <c:pt idx="0">
                  <c:v>0</c:v>
                </c:pt>
                <c:pt idx="1">
                  <c:v>30355.64</c:v>
                </c:pt>
                <c:pt idx="2">
                  <c:v>21108.347725894484</c:v>
                </c:pt>
                <c:pt idx="3">
                  <c:v>23535.410240963854</c:v>
                </c:pt>
                <c:pt idx="4">
                  <c:v>16069.13605442177</c:v>
                </c:pt>
                <c:pt idx="5">
                  <c:v>18736.088888888888</c:v>
                </c:pt>
                <c:pt idx="6">
                  <c:v>13594</c:v>
                </c:pt>
                <c:pt idx="7">
                  <c:v>0</c:v>
                </c:pt>
                <c:pt idx="8">
                  <c:v>61225.055555555562</c:v>
                </c:pt>
                <c:pt idx="9">
                  <c:v>30120</c:v>
                </c:pt>
                <c:pt idx="10">
                  <c:v>2580</c:v>
                </c:pt>
                <c:pt idx="11">
                  <c:v>28681.097058823532</c:v>
                </c:pt>
                <c:pt idx="12">
                  <c:v>13063.5</c:v>
                </c:pt>
                <c:pt idx="13">
                  <c:v>35341.911111111105</c:v>
                </c:pt>
                <c:pt idx="14">
                  <c:v>0</c:v>
                </c:pt>
                <c:pt idx="15">
                  <c:v>18870.486666666668</c:v>
                </c:pt>
                <c:pt idx="16">
                  <c:v>17276.666666666664</c:v>
                </c:pt>
                <c:pt idx="17">
                  <c:v>37650.176470588238</c:v>
                </c:pt>
                <c:pt idx="18">
                  <c:v>19890.555555555555</c:v>
                </c:pt>
                <c:pt idx="19">
                  <c:v>25197.701960784314</c:v>
                </c:pt>
                <c:pt idx="20">
                  <c:v>1122.1444444444446</c:v>
                </c:pt>
                <c:pt idx="21">
                  <c:v>0</c:v>
                </c:pt>
                <c:pt idx="22">
                  <c:v>13936.666666666668</c:v>
                </c:pt>
                <c:pt idx="23">
                  <c:v>35135.25</c:v>
                </c:pt>
                <c:pt idx="24">
                  <c:v>5718.4444444444443</c:v>
                </c:pt>
                <c:pt idx="25">
                  <c:v>20737</c:v>
                </c:pt>
                <c:pt idx="26">
                  <c:v>6854.1333333333332</c:v>
                </c:pt>
                <c:pt idx="27">
                  <c:v>9628.4</c:v>
                </c:pt>
                <c:pt idx="28">
                  <c:v>0</c:v>
                </c:pt>
                <c:pt idx="29">
                  <c:v>7020</c:v>
                </c:pt>
                <c:pt idx="30">
                  <c:v>11943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8-4057-88D0-3A6037A576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Diaria'!$A$64:$B$94</c:f>
              <c:multiLvlStrCache>
                <c:ptCount val="31"/>
                <c:lvl>
                  <c:pt idx="0">
                    <c:v>01/03/2020</c:v>
                  </c:pt>
                  <c:pt idx="1">
                    <c:v>02/03/2020</c:v>
                  </c:pt>
                  <c:pt idx="2">
                    <c:v>03/03/2020</c:v>
                  </c:pt>
                  <c:pt idx="3">
                    <c:v>04/03/2020</c:v>
                  </c:pt>
                  <c:pt idx="4">
                    <c:v>05/03/2020</c:v>
                  </c:pt>
                  <c:pt idx="5">
                    <c:v>06/03/2020</c:v>
                  </c:pt>
                  <c:pt idx="6">
                    <c:v>07/03/2020</c:v>
                  </c:pt>
                  <c:pt idx="7">
                    <c:v>08/03/2020</c:v>
                  </c:pt>
                  <c:pt idx="8">
                    <c:v>09/03/2020</c:v>
                  </c:pt>
                  <c:pt idx="9">
                    <c:v>10/03/2020</c:v>
                  </c:pt>
                  <c:pt idx="10">
                    <c:v>11/03/2020</c:v>
                  </c:pt>
                  <c:pt idx="11">
                    <c:v>12/03/2020</c:v>
                  </c:pt>
                  <c:pt idx="12">
                    <c:v>13/03/2020</c:v>
                  </c:pt>
                  <c:pt idx="13">
                    <c:v>14/03/2020</c:v>
                  </c:pt>
                  <c:pt idx="14">
                    <c:v>15/03/2020</c:v>
                  </c:pt>
                  <c:pt idx="15">
                    <c:v>16/03/2020</c:v>
                  </c:pt>
                  <c:pt idx="16">
                    <c:v>17/03/2020</c:v>
                  </c:pt>
                  <c:pt idx="17">
                    <c:v>18/03/2020</c:v>
                  </c:pt>
                  <c:pt idx="18">
                    <c:v>19/03/2020</c:v>
                  </c:pt>
                  <c:pt idx="19">
                    <c:v>20/03/2020</c:v>
                  </c:pt>
                  <c:pt idx="20">
                    <c:v>21/03/2020</c:v>
                  </c:pt>
                  <c:pt idx="21">
                    <c:v>22/03/2020</c:v>
                  </c:pt>
                  <c:pt idx="22">
                    <c:v>23/03/2020</c:v>
                  </c:pt>
                  <c:pt idx="23">
                    <c:v>24/03/2020</c:v>
                  </c:pt>
                  <c:pt idx="24">
                    <c:v>25/03/2020</c:v>
                  </c:pt>
                  <c:pt idx="25">
                    <c:v>26/03/2020</c:v>
                  </c:pt>
                  <c:pt idx="26">
                    <c:v>27/03/2020</c:v>
                  </c:pt>
                  <c:pt idx="27">
                    <c:v>28/03/2020</c:v>
                  </c:pt>
                  <c:pt idx="28">
                    <c:v>29/03/2020</c:v>
                  </c:pt>
                  <c:pt idx="29">
                    <c:v>30/03/2020</c:v>
                  </c:pt>
                  <c:pt idx="30">
                    <c:v>31/03/2020</c:v>
                  </c:pt>
                </c:lvl>
                <c:lvl>
                  <c:pt idx="0">
                    <c:v>Marzo</c:v>
                  </c:pt>
                </c:lvl>
              </c:multiLvlStrCache>
            </c:multiLvlStrRef>
          </c:cat>
          <c:val>
            <c:numRef>
              <c:f>'Tendencia Diaria'!$D$64:$D$94</c:f>
              <c:numCache>
                <c:formatCode>General</c:formatCode>
                <c:ptCount val="31"/>
                <c:pt idx="0">
                  <c:v>0</c:v>
                </c:pt>
                <c:pt idx="1">
                  <c:v>4228.7066666666669</c:v>
                </c:pt>
                <c:pt idx="2">
                  <c:v>2798.5574085304224</c:v>
                </c:pt>
                <c:pt idx="3">
                  <c:v>3736.7399196787146</c:v>
                </c:pt>
                <c:pt idx="4">
                  <c:v>2272.8911111111111</c:v>
                </c:pt>
                <c:pt idx="5">
                  <c:v>2723.5977777777775</c:v>
                </c:pt>
                <c:pt idx="6">
                  <c:v>2128.8626666666669</c:v>
                </c:pt>
                <c:pt idx="7">
                  <c:v>0</c:v>
                </c:pt>
                <c:pt idx="8">
                  <c:v>6212.7623703703684</c:v>
                </c:pt>
                <c:pt idx="9">
                  <c:v>4932.6666666666661</c:v>
                </c:pt>
                <c:pt idx="10">
                  <c:v>689.33333333333337</c:v>
                </c:pt>
                <c:pt idx="11">
                  <c:v>4656.2156862745105</c:v>
                </c:pt>
                <c:pt idx="12">
                  <c:v>2468.8333333333335</c:v>
                </c:pt>
                <c:pt idx="13">
                  <c:v>5218.4655555555546</c:v>
                </c:pt>
                <c:pt idx="14">
                  <c:v>0</c:v>
                </c:pt>
                <c:pt idx="15">
                  <c:v>2902.0210000000002</c:v>
                </c:pt>
                <c:pt idx="16">
                  <c:v>2780.666666666667</c:v>
                </c:pt>
                <c:pt idx="17">
                  <c:v>6409.1450980392146</c:v>
                </c:pt>
                <c:pt idx="18">
                  <c:v>3221.1666666666665</c:v>
                </c:pt>
                <c:pt idx="19">
                  <c:v>3342.4662091503264</c:v>
                </c:pt>
                <c:pt idx="20">
                  <c:v>183.7430065359477</c:v>
                </c:pt>
                <c:pt idx="21">
                  <c:v>0</c:v>
                </c:pt>
                <c:pt idx="22">
                  <c:v>1540.2777777777778</c:v>
                </c:pt>
                <c:pt idx="23">
                  <c:v>4759.9883333333328</c:v>
                </c:pt>
                <c:pt idx="24">
                  <c:v>1000.2581481481482</c:v>
                </c:pt>
                <c:pt idx="25">
                  <c:v>4394.1626666666662</c:v>
                </c:pt>
                <c:pt idx="26">
                  <c:v>1672.0411111111111</c:v>
                </c:pt>
                <c:pt idx="27">
                  <c:v>2434.2022222222222</c:v>
                </c:pt>
                <c:pt idx="28">
                  <c:v>0</c:v>
                </c:pt>
                <c:pt idx="29">
                  <c:v>1440</c:v>
                </c:pt>
                <c:pt idx="30">
                  <c:v>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8-4057-88D0-3A6037A57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509951"/>
        <c:axId val="502510783"/>
        <c:axId val="0"/>
      </c:bar3DChart>
      <c:catAx>
        <c:axId val="5025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510783"/>
        <c:crosses val="autoZero"/>
        <c:auto val="1"/>
        <c:lblAlgn val="ctr"/>
        <c:lblOffset val="100"/>
        <c:noMultiLvlLbl val="0"/>
      </c:catAx>
      <c:valAx>
        <c:axId val="5025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5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Tendencia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Diaria'!$A$96:$B$125</c:f>
              <c:multiLvlStrCache>
                <c:ptCount val="30"/>
                <c:lvl>
                  <c:pt idx="0">
                    <c:v>01/04/2020</c:v>
                  </c:pt>
                  <c:pt idx="1">
                    <c:v>02/04/2020</c:v>
                  </c:pt>
                  <c:pt idx="2">
                    <c:v>03/04/2020</c:v>
                  </c:pt>
                  <c:pt idx="3">
                    <c:v>04/04/2020</c:v>
                  </c:pt>
                  <c:pt idx="4">
                    <c:v>05/04/2020</c:v>
                  </c:pt>
                  <c:pt idx="5">
                    <c:v>06/04/2020</c:v>
                  </c:pt>
                  <c:pt idx="6">
                    <c:v>07/04/2020</c:v>
                  </c:pt>
                  <c:pt idx="7">
                    <c:v>08/04/2020</c:v>
                  </c:pt>
                  <c:pt idx="8">
                    <c:v>09/04/2020</c:v>
                  </c:pt>
                  <c:pt idx="9">
                    <c:v>10/04/2020</c:v>
                  </c:pt>
                  <c:pt idx="10">
                    <c:v>11/04/2020</c:v>
                  </c:pt>
                  <c:pt idx="11">
                    <c:v>12/04/2020</c:v>
                  </c:pt>
                  <c:pt idx="12">
                    <c:v>13/04/2020</c:v>
                  </c:pt>
                  <c:pt idx="13">
                    <c:v>14/04/2020</c:v>
                  </c:pt>
                  <c:pt idx="14">
                    <c:v>15/04/2020</c:v>
                  </c:pt>
                  <c:pt idx="15">
                    <c:v>16/04/2020</c:v>
                  </c:pt>
                  <c:pt idx="16">
                    <c:v>17/04/2020</c:v>
                  </c:pt>
                  <c:pt idx="17">
                    <c:v>18/04/2020</c:v>
                  </c:pt>
                  <c:pt idx="18">
                    <c:v>19/04/2020</c:v>
                  </c:pt>
                  <c:pt idx="19">
                    <c:v>20/04/2020</c:v>
                  </c:pt>
                  <c:pt idx="20">
                    <c:v>21/04/2020</c:v>
                  </c:pt>
                  <c:pt idx="21">
                    <c:v>22/04/2020</c:v>
                  </c:pt>
                  <c:pt idx="22">
                    <c:v>23/04/2020</c:v>
                  </c:pt>
                  <c:pt idx="23">
                    <c:v>24/04/2020</c:v>
                  </c:pt>
                  <c:pt idx="24">
                    <c:v>25/04/2020</c:v>
                  </c:pt>
                  <c:pt idx="25">
                    <c:v>26/04/2020</c:v>
                  </c:pt>
                  <c:pt idx="26">
                    <c:v>27/04/2020</c:v>
                  </c:pt>
                  <c:pt idx="27">
                    <c:v>28/04/2020</c:v>
                  </c:pt>
                  <c:pt idx="28">
                    <c:v>29/04/2020</c:v>
                  </c:pt>
                  <c:pt idx="29">
                    <c:v>30/04/2020</c:v>
                  </c:pt>
                </c:lvl>
                <c:lvl>
                  <c:pt idx="0">
                    <c:v>Abril</c:v>
                  </c:pt>
                </c:lvl>
              </c:multiLvlStrCache>
            </c:multiLvlStrRef>
          </c:cat>
          <c:val>
            <c:numRef>
              <c:f>'Tendencia Diaria'!$C$96:$C$125</c:f>
              <c:numCache>
                <c:formatCode>General</c:formatCode>
                <c:ptCount val="30"/>
                <c:pt idx="0">
                  <c:v>18780.176470588234</c:v>
                </c:pt>
                <c:pt idx="1">
                  <c:v>10585.666666666668</c:v>
                </c:pt>
                <c:pt idx="2">
                  <c:v>36325.73529411765</c:v>
                </c:pt>
                <c:pt idx="3">
                  <c:v>6796</c:v>
                </c:pt>
                <c:pt idx="4">
                  <c:v>0</c:v>
                </c:pt>
                <c:pt idx="5">
                  <c:v>9254.8333333333321</c:v>
                </c:pt>
                <c:pt idx="6">
                  <c:v>10140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28433.50980392157</c:v>
                </c:pt>
                <c:pt idx="13">
                  <c:v>3975.9722222222222</c:v>
                </c:pt>
                <c:pt idx="14">
                  <c:v>4643.3333333333339</c:v>
                </c:pt>
                <c:pt idx="15">
                  <c:v>17801.764705882353</c:v>
                </c:pt>
                <c:pt idx="16">
                  <c:v>23200</c:v>
                </c:pt>
                <c:pt idx="17">
                  <c:v>3199.333333333333</c:v>
                </c:pt>
                <c:pt idx="18">
                  <c:v>0</c:v>
                </c:pt>
                <c:pt idx="19">
                  <c:v>8521.9607837137246</c:v>
                </c:pt>
                <c:pt idx="20">
                  <c:v>15777.941176470587</c:v>
                </c:pt>
                <c:pt idx="21">
                  <c:v>8588.8333333333321</c:v>
                </c:pt>
                <c:pt idx="22">
                  <c:v>13773.921568627451</c:v>
                </c:pt>
                <c:pt idx="23">
                  <c:v>18811.5</c:v>
                </c:pt>
                <c:pt idx="24">
                  <c:v>9364.5666666666657</c:v>
                </c:pt>
                <c:pt idx="25">
                  <c:v>0</c:v>
                </c:pt>
                <c:pt idx="26">
                  <c:v>24834.780000000002</c:v>
                </c:pt>
                <c:pt idx="27">
                  <c:v>17297.940740740742</c:v>
                </c:pt>
                <c:pt idx="28">
                  <c:v>12200.555555555557</c:v>
                </c:pt>
                <c:pt idx="29">
                  <c:v>4992.2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2-4464-A66C-E2D1DB305B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Diaria'!$A$96:$B$125</c:f>
              <c:multiLvlStrCache>
                <c:ptCount val="30"/>
                <c:lvl>
                  <c:pt idx="0">
                    <c:v>01/04/2020</c:v>
                  </c:pt>
                  <c:pt idx="1">
                    <c:v>02/04/2020</c:v>
                  </c:pt>
                  <c:pt idx="2">
                    <c:v>03/04/2020</c:v>
                  </c:pt>
                  <c:pt idx="3">
                    <c:v>04/04/2020</c:v>
                  </c:pt>
                  <c:pt idx="4">
                    <c:v>05/04/2020</c:v>
                  </c:pt>
                  <c:pt idx="5">
                    <c:v>06/04/2020</c:v>
                  </c:pt>
                  <c:pt idx="6">
                    <c:v>07/04/2020</c:v>
                  </c:pt>
                  <c:pt idx="7">
                    <c:v>08/04/2020</c:v>
                  </c:pt>
                  <c:pt idx="8">
                    <c:v>09/04/2020</c:v>
                  </c:pt>
                  <c:pt idx="9">
                    <c:v>10/04/2020</c:v>
                  </c:pt>
                  <c:pt idx="10">
                    <c:v>11/04/2020</c:v>
                  </c:pt>
                  <c:pt idx="11">
                    <c:v>12/04/2020</c:v>
                  </c:pt>
                  <c:pt idx="12">
                    <c:v>13/04/2020</c:v>
                  </c:pt>
                  <c:pt idx="13">
                    <c:v>14/04/2020</c:v>
                  </c:pt>
                  <c:pt idx="14">
                    <c:v>15/04/2020</c:v>
                  </c:pt>
                  <c:pt idx="15">
                    <c:v>16/04/2020</c:v>
                  </c:pt>
                  <c:pt idx="16">
                    <c:v>17/04/2020</c:v>
                  </c:pt>
                  <c:pt idx="17">
                    <c:v>18/04/2020</c:v>
                  </c:pt>
                  <c:pt idx="18">
                    <c:v>19/04/2020</c:v>
                  </c:pt>
                  <c:pt idx="19">
                    <c:v>20/04/2020</c:v>
                  </c:pt>
                  <c:pt idx="20">
                    <c:v>21/04/2020</c:v>
                  </c:pt>
                  <c:pt idx="21">
                    <c:v>22/04/2020</c:v>
                  </c:pt>
                  <c:pt idx="22">
                    <c:v>23/04/2020</c:v>
                  </c:pt>
                  <c:pt idx="23">
                    <c:v>24/04/2020</c:v>
                  </c:pt>
                  <c:pt idx="24">
                    <c:v>25/04/2020</c:v>
                  </c:pt>
                  <c:pt idx="25">
                    <c:v>26/04/2020</c:v>
                  </c:pt>
                  <c:pt idx="26">
                    <c:v>27/04/2020</c:v>
                  </c:pt>
                  <c:pt idx="27">
                    <c:v>28/04/2020</c:v>
                  </c:pt>
                  <c:pt idx="28">
                    <c:v>29/04/2020</c:v>
                  </c:pt>
                  <c:pt idx="29">
                    <c:v>30/04/2020</c:v>
                  </c:pt>
                </c:lvl>
                <c:lvl>
                  <c:pt idx="0">
                    <c:v>Abril</c:v>
                  </c:pt>
                </c:lvl>
              </c:multiLvlStrCache>
            </c:multiLvlStrRef>
          </c:cat>
          <c:val>
            <c:numRef>
              <c:f>'Tendencia Diaria'!$D$96:$D$125</c:f>
              <c:numCache>
                <c:formatCode>General</c:formatCode>
                <c:ptCount val="30"/>
                <c:pt idx="0">
                  <c:v>2965.4410980392158</c:v>
                </c:pt>
                <c:pt idx="1">
                  <c:v>1856.6094444444445</c:v>
                </c:pt>
                <c:pt idx="2">
                  <c:v>3976.6115196078435</c:v>
                </c:pt>
                <c:pt idx="3">
                  <c:v>1503.45</c:v>
                </c:pt>
                <c:pt idx="4">
                  <c:v>0</c:v>
                </c:pt>
                <c:pt idx="5">
                  <c:v>1609.6374999999998</c:v>
                </c:pt>
                <c:pt idx="6">
                  <c:v>1832.6666666666667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3924.7906535947714</c:v>
                </c:pt>
                <c:pt idx="13">
                  <c:v>552.34722222222217</c:v>
                </c:pt>
                <c:pt idx="14">
                  <c:v>910.66666666666674</c:v>
                </c:pt>
                <c:pt idx="15">
                  <c:v>2589.7309803921571</c:v>
                </c:pt>
                <c:pt idx="16">
                  <c:v>3182.1111111111113</c:v>
                </c:pt>
                <c:pt idx="17">
                  <c:v>481.11333333333334</c:v>
                </c:pt>
                <c:pt idx="18">
                  <c:v>0</c:v>
                </c:pt>
                <c:pt idx="19">
                  <c:v>849.6594545409157</c:v>
                </c:pt>
                <c:pt idx="20">
                  <c:v>1934.7303921568628</c:v>
                </c:pt>
                <c:pt idx="21">
                  <c:v>1342.15</c:v>
                </c:pt>
                <c:pt idx="22">
                  <c:v>2803.2614379084966</c:v>
                </c:pt>
                <c:pt idx="23">
                  <c:v>2848.7233333333334</c:v>
                </c:pt>
                <c:pt idx="24">
                  <c:v>1533.6011111111109</c:v>
                </c:pt>
                <c:pt idx="25">
                  <c:v>0</c:v>
                </c:pt>
                <c:pt idx="26">
                  <c:v>3716.626666666667</c:v>
                </c:pt>
                <c:pt idx="27">
                  <c:v>2532.5496296296296</c:v>
                </c:pt>
                <c:pt idx="28">
                  <c:v>1910.4444444444443</c:v>
                </c:pt>
                <c:pt idx="29">
                  <c:v>789.92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2-4464-A66C-E2D1DB30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511199"/>
        <c:axId val="502500383"/>
        <c:axId val="0"/>
      </c:bar3DChart>
      <c:catAx>
        <c:axId val="50251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500383"/>
        <c:crosses val="autoZero"/>
        <c:auto val="1"/>
        <c:lblAlgn val="ctr"/>
        <c:lblOffset val="100"/>
        <c:noMultiLvlLbl val="0"/>
      </c:catAx>
      <c:valAx>
        <c:axId val="5025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5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Tendencia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Diaria'!$A$127:$B$157</c:f>
              <c:multiLvlStrCache>
                <c:ptCount val="31"/>
                <c:lvl>
                  <c:pt idx="0">
                    <c:v>01/05/2020</c:v>
                  </c:pt>
                  <c:pt idx="1">
                    <c:v>02/05/2020</c:v>
                  </c:pt>
                  <c:pt idx="2">
                    <c:v>03/05/2020</c:v>
                  </c:pt>
                  <c:pt idx="3">
                    <c:v>04/05/2020</c:v>
                  </c:pt>
                  <c:pt idx="4">
                    <c:v>05/05/2020</c:v>
                  </c:pt>
                  <c:pt idx="5">
                    <c:v>06/05/2020</c:v>
                  </c:pt>
                  <c:pt idx="6">
                    <c:v>07/05/2020</c:v>
                  </c:pt>
                  <c:pt idx="7">
                    <c:v>08/05/2020</c:v>
                  </c:pt>
                  <c:pt idx="8">
                    <c:v>09/05/2020</c:v>
                  </c:pt>
                  <c:pt idx="9">
                    <c:v>10/05/2020</c:v>
                  </c:pt>
                  <c:pt idx="10">
                    <c:v>11/05/2020</c:v>
                  </c:pt>
                  <c:pt idx="11">
                    <c:v>12/05/2020</c:v>
                  </c:pt>
                  <c:pt idx="12">
                    <c:v>13/05/2020</c:v>
                  </c:pt>
                  <c:pt idx="13">
                    <c:v>14/05/2020</c:v>
                  </c:pt>
                  <c:pt idx="14">
                    <c:v>15/05/2020</c:v>
                  </c:pt>
                  <c:pt idx="15">
                    <c:v>16/05/2020</c:v>
                  </c:pt>
                  <c:pt idx="16">
                    <c:v>17/05/2020</c:v>
                  </c:pt>
                  <c:pt idx="17">
                    <c:v>18/05/2020</c:v>
                  </c:pt>
                  <c:pt idx="18">
                    <c:v>19/05/2020</c:v>
                  </c:pt>
                  <c:pt idx="19">
                    <c:v>20/05/2020</c:v>
                  </c:pt>
                  <c:pt idx="20">
                    <c:v>21/05/2020</c:v>
                  </c:pt>
                  <c:pt idx="21">
                    <c:v>22/05/2020</c:v>
                  </c:pt>
                  <c:pt idx="22">
                    <c:v>23/05/2020</c:v>
                  </c:pt>
                  <c:pt idx="23">
                    <c:v>24/05/2020</c:v>
                  </c:pt>
                  <c:pt idx="24">
                    <c:v>25/05/2020</c:v>
                  </c:pt>
                  <c:pt idx="25">
                    <c:v>26/05/2020</c:v>
                  </c:pt>
                  <c:pt idx="26">
                    <c:v>27/05/2020</c:v>
                  </c:pt>
                  <c:pt idx="27">
                    <c:v>28/05/2020</c:v>
                  </c:pt>
                  <c:pt idx="28">
                    <c:v>29/05/2020</c:v>
                  </c:pt>
                  <c:pt idx="29">
                    <c:v>30/05/2020</c:v>
                  </c:pt>
                  <c:pt idx="30">
                    <c:v>31/05/2020</c:v>
                  </c:pt>
                </c:lvl>
                <c:lvl>
                  <c:pt idx="0">
                    <c:v>Mayo</c:v>
                  </c:pt>
                </c:lvl>
              </c:multiLvlStrCache>
            </c:multiLvlStrRef>
          </c:cat>
          <c:val>
            <c:numRef>
              <c:f>'Tendencia Diaria'!$C$127:$C$157</c:f>
              <c:numCache>
                <c:formatCode>General</c:formatCode>
                <c:ptCount val="31"/>
                <c:pt idx="0">
                  <c:v>0</c:v>
                </c:pt>
                <c:pt idx="1">
                  <c:v>13440.65</c:v>
                </c:pt>
                <c:pt idx="2">
                  <c:v>0</c:v>
                </c:pt>
                <c:pt idx="3">
                  <c:v>22288.333333333336</c:v>
                </c:pt>
                <c:pt idx="4">
                  <c:v>2766.9</c:v>
                </c:pt>
                <c:pt idx="5">
                  <c:v>8311.9</c:v>
                </c:pt>
                <c:pt idx="6">
                  <c:v>9745</c:v>
                </c:pt>
                <c:pt idx="7">
                  <c:v>24976.666666666668</c:v>
                </c:pt>
                <c:pt idx="8">
                  <c:v>12658.888888888889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30961.938775510203</c:v>
                </c:pt>
                <c:pt idx="18">
                  <c:v>1858.627450980392</c:v>
                </c:pt>
                <c:pt idx="19">
                  <c:v>3195</c:v>
                </c:pt>
                <c:pt idx="20">
                  <c:v>10699.4</c:v>
                </c:pt>
                <c:pt idx="21">
                  <c:v>5010</c:v>
                </c:pt>
                <c:pt idx="22">
                  <c:v>480</c:v>
                </c:pt>
                <c:pt idx="23">
                  <c:v>0</c:v>
                </c:pt>
                <c:pt idx="24">
                  <c:v>2682.5</c:v>
                </c:pt>
                <c:pt idx="25">
                  <c:v>25032.058823529413</c:v>
                </c:pt>
                <c:pt idx="26">
                  <c:v>1852.9411764705883</c:v>
                </c:pt>
                <c:pt idx="27">
                  <c:v>3330</c:v>
                </c:pt>
                <c:pt idx="28">
                  <c:v>4568.2222222222226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A-4E38-BA3B-AE71AF8004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Diaria'!$A$127:$B$157</c:f>
              <c:multiLvlStrCache>
                <c:ptCount val="31"/>
                <c:lvl>
                  <c:pt idx="0">
                    <c:v>01/05/2020</c:v>
                  </c:pt>
                  <c:pt idx="1">
                    <c:v>02/05/2020</c:v>
                  </c:pt>
                  <c:pt idx="2">
                    <c:v>03/05/2020</c:v>
                  </c:pt>
                  <c:pt idx="3">
                    <c:v>04/05/2020</c:v>
                  </c:pt>
                  <c:pt idx="4">
                    <c:v>05/05/2020</c:v>
                  </c:pt>
                  <c:pt idx="5">
                    <c:v>06/05/2020</c:v>
                  </c:pt>
                  <c:pt idx="6">
                    <c:v>07/05/2020</c:v>
                  </c:pt>
                  <c:pt idx="7">
                    <c:v>08/05/2020</c:v>
                  </c:pt>
                  <c:pt idx="8">
                    <c:v>09/05/2020</c:v>
                  </c:pt>
                  <c:pt idx="9">
                    <c:v>10/05/2020</c:v>
                  </c:pt>
                  <c:pt idx="10">
                    <c:v>11/05/2020</c:v>
                  </c:pt>
                  <c:pt idx="11">
                    <c:v>12/05/2020</c:v>
                  </c:pt>
                  <c:pt idx="12">
                    <c:v>13/05/2020</c:v>
                  </c:pt>
                  <c:pt idx="13">
                    <c:v>14/05/2020</c:v>
                  </c:pt>
                  <c:pt idx="14">
                    <c:v>15/05/2020</c:v>
                  </c:pt>
                  <c:pt idx="15">
                    <c:v>16/05/2020</c:v>
                  </c:pt>
                  <c:pt idx="16">
                    <c:v>17/05/2020</c:v>
                  </c:pt>
                  <c:pt idx="17">
                    <c:v>18/05/2020</c:v>
                  </c:pt>
                  <c:pt idx="18">
                    <c:v>19/05/2020</c:v>
                  </c:pt>
                  <c:pt idx="19">
                    <c:v>20/05/2020</c:v>
                  </c:pt>
                  <c:pt idx="20">
                    <c:v>21/05/2020</c:v>
                  </c:pt>
                  <c:pt idx="21">
                    <c:v>22/05/2020</c:v>
                  </c:pt>
                  <c:pt idx="22">
                    <c:v>23/05/2020</c:v>
                  </c:pt>
                  <c:pt idx="23">
                    <c:v>24/05/2020</c:v>
                  </c:pt>
                  <c:pt idx="24">
                    <c:v>25/05/2020</c:v>
                  </c:pt>
                  <c:pt idx="25">
                    <c:v>26/05/2020</c:v>
                  </c:pt>
                  <c:pt idx="26">
                    <c:v>27/05/2020</c:v>
                  </c:pt>
                  <c:pt idx="27">
                    <c:v>28/05/2020</c:v>
                  </c:pt>
                  <c:pt idx="28">
                    <c:v>29/05/2020</c:v>
                  </c:pt>
                  <c:pt idx="29">
                    <c:v>30/05/2020</c:v>
                  </c:pt>
                  <c:pt idx="30">
                    <c:v>31/05/2020</c:v>
                  </c:pt>
                </c:lvl>
                <c:lvl>
                  <c:pt idx="0">
                    <c:v>Mayo</c:v>
                  </c:pt>
                </c:lvl>
              </c:multiLvlStrCache>
            </c:multiLvlStrRef>
          </c:cat>
          <c:val>
            <c:numRef>
              <c:f>'Tendencia Diaria'!$D$127:$D$157</c:f>
              <c:numCache>
                <c:formatCode>General</c:formatCode>
                <c:ptCount val="31"/>
                <c:pt idx="0">
                  <c:v>0</c:v>
                </c:pt>
                <c:pt idx="1">
                  <c:v>3099.2570000000005</c:v>
                </c:pt>
                <c:pt idx="2">
                  <c:v>0</c:v>
                </c:pt>
                <c:pt idx="3">
                  <c:v>3313.7222222222222</c:v>
                </c:pt>
                <c:pt idx="4">
                  <c:v>370.62666666666667</c:v>
                </c:pt>
                <c:pt idx="5">
                  <c:v>1104.2933333333333</c:v>
                </c:pt>
                <c:pt idx="6">
                  <c:v>1258.6666666666667</c:v>
                </c:pt>
                <c:pt idx="7">
                  <c:v>3847.5611111111111</c:v>
                </c:pt>
                <c:pt idx="8">
                  <c:v>2213.7777777777778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4518.0408163265311</c:v>
                </c:pt>
                <c:pt idx="18">
                  <c:v>280.20915032679738</c:v>
                </c:pt>
                <c:pt idx="19">
                  <c:v>537.33333333333337</c:v>
                </c:pt>
                <c:pt idx="20">
                  <c:v>1115.4333333333332</c:v>
                </c:pt>
                <c:pt idx="21">
                  <c:v>640</c:v>
                </c:pt>
                <c:pt idx="22">
                  <c:v>109.16666666666666</c:v>
                </c:pt>
                <c:pt idx="23">
                  <c:v>0</c:v>
                </c:pt>
                <c:pt idx="24">
                  <c:v>528.03</c:v>
                </c:pt>
                <c:pt idx="25">
                  <c:v>3730.5</c:v>
                </c:pt>
                <c:pt idx="26">
                  <c:v>233.64705882352942</c:v>
                </c:pt>
                <c:pt idx="27">
                  <c:v>576</c:v>
                </c:pt>
                <c:pt idx="28">
                  <c:v>1110.1259259259259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A-4E38-BA3B-AE71AF80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502047"/>
        <c:axId val="502502879"/>
        <c:axId val="0"/>
      </c:bar3DChart>
      <c:catAx>
        <c:axId val="5025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502879"/>
        <c:crosses val="autoZero"/>
        <c:auto val="1"/>
        <c:lblAlgn val="ctr"/>
        <c:lblOffset val="100"/>
        <c:noMultiLvlLbl val="0"/>
      </c:catAx>
      <c:valAx>
        <c:axId val="5025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5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Tendencia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Diaria'!$A$159:$B$188</c:f>
              <c:multiLvlStrCache>
                <c:ptCount val="30"/>
                <c:lvl>
                  <c:pt idx="0">
                    <c:v>01/06/2020</c:v>
                  </c:pt>
                  <c:pt idx="1">
                    <c:v>02/06/2020</c:v>
                  </c:pt>
                  <c:pt idx="2">
                    <c:v>03/06/2020</c:v>
                  </c:pt>
                  <c:pt idx="3">
                    <c:v>04/06/2020</c:v>
                  </c:pt>
                  <c:pt idx="4">
                    <c:v>05/06/2020</c:v>
                  </c:pt>
                  <c:pt idx="5">
                    <c:v>06/06/2020</c:v>
                  </c:pt>
                  <c:pt idx="6">
                    <c:v>07/06/2020</c:v>
                  </c:pt>
                  <c:pt idx="7">
                    <c:v>08/06/2020</c:v>
                  </c:pt>
                  <c:pt idx="8">
                    <c:v>09/06/2020</c:v>
                  </c:pt>
                  <c:pt idx="9">
                    <c:v>10/06/2020</c:v>
                  </c:pt>
                  <c:pt idx="10">
                    <c:v>11/06/2020</c:v>
                  </c:pt>
                  <c:pt idx="11">
                    <c:v>12/06/2020</c:v>
                  </c:pt>
                  <c:pt idx="12">
                    <c:v>13/06/2020</c:v>
                  </c:pt>
                  <c:pt idx="13">
                    <c:v>14/06/2020</c:v>
                  </c:pt>
                  <c:pt idx="14">
                    <c:v>15/06/2020</c:v>
                  </c:pt>
                  <c:pt idx="15">
                    <c:v>16/06/2020</c:v>
                  </c:pt>
                  <c:pt idx="16">
                    <c:v>17/06/2020</c:v>
                  </c:pt>
                  <c:pt idx="17">
                    <c:v>18/06/2020</c:v>
                  </c:pt>
                  <c:pt idx="18">
                    <c:v>19/06/2020</c:v>
                  </c:pt>
                  <c:pt idx="19">
                    <c:v>20/06/2020</c:v>
                  </c:pt>
                  <c:pt idx="20">
                    <c:v>21/06/2020</c:v>
                  </c:pt>
                  <c:pt idx="21">
                    <c:v>22/06/2020</c:v>
                  </c:pt>
                  <c:pt idx="22">
                    <c:v>23/06/2020</c:v>
                  </c:pt>
                  <c:pt idx="23">
                    <c:v>24/06/2020</c:v>
                  </c:pt>
                  <c:pt idx="24">
                    <c:v>25/06/2020</c:v>
                  </c:pt>
                  <c:pt idx="25">
                    <c:v>26/06/2020</c:v>
                  </c:pt>
                  <c:pt idx="26">
                    <c:v>27/06/2020</c:v>
                  </c:pt>
                  <c:pt idx="27">
                    <c:v>28/06/2020</c:v>
                  </c:pt>
                  <c:pt idx="28">
                    <c:v>29/06/2020</c:v>
                  </c:pt>
                  <c:pt idx="29">
                    <c:v>30/06/2020</c:v>
                  </c:pt>
                </c:lvl>
                <c:lvl>
                  <c:pt idx="0">
                    <c:v>Junio</c:v>
                  </c:pt>
                </c:lvl>
              </c:multiLvlStrCache>
            </c:multiLvlStrRef>
          </c:cat>
          <c:val>
            <c:numRef>
              <c:f>'Tendencia Diaria'!$C$159:$C$188</c:f>
              <c:numCache>
                <c:formatCode>General</c:formatCode>
                <c:ptCount val="30"/>
                <c:pt idx="0">
                  <c:v>0</c:v>
                </c:pt>
                <c:pt idx="1">
                  <c:v>23100</c:v>
                </c:pt>
                <c:pt idx="2">
                  <c:v>7210</c:v>
                </c:pt>
                <c:pt idx="3">
                  <c:v>1999.5</c:v>
                </c:pt>
                <c:pt idx="4">
                  <c:v>15274.470588235294</c:v>
                </c:pt>
                <c:pt idx="5">
                  <c:v>29835</c:v>
                </c:pt>
                <c:pt idx="6">
                  <c:v>0</c:v>
                </c:pt>
                <c:pt idx="7">
                  <c:v>17291.666666666668</c:v>
                </c:pt>
                <c:pt idx="8">
                  <c:v>39029.444444444445</c:v>
                </c:pt>
                <c:pt idx="9">
                  <c:v>10246.799999999999</c:v>
                </c:pt>
                <c:pt idx="10">
                  <c:v>2648.2</c:v>
                </c:pt>
                <c:pt idx="11">
                  <c:v>3578.8705882352942</c:v>
                </c:pt>
                <c:pt idx="12">
                  <c:v>10690</c:v>
                </c:pt>
                <c:pt idx="13">
                  <c:v>0</c:v>
                </c:pt>
                <c:pt idx="14">
                  <c:v>21485.294117647059</c:v>
                </c:pt>
                <c:pt idx="15">
                  <c:v>17134.989999999998</c:v>
                </c:pt>
                <c:pt idx="16">
                  <c:v>4030</c:v>
                </c:pt>
                <c:pt idx="17">
                  <c:v>1455</c:v>
                </c:pt>
                <c:pt idx="18">
                  <c:v>9003.6323529411766</c:v>
                </c:pt>
                <c:pt idx="19">
                  <c:v>9180.5882352941189</c:v>
                </c:pt>
                <c:pt idx="20">
                  <c:v>0</c:v>
                </c:pt>
                <c:pt idx="21">
                  <c:v>14756</c:v>
                </c:pt>
                <c:pt idx="22">
                  <c:v>9013.1529411764714</c:v>
                </c:pt>
                <c:pt idx="23">
                  <c:v>2263.4296028880867</c:v>
                </c:pt>
                <c:pt idx="24">
                  <c:v>6351.666666666667</c:v>
                </c:pt>
                <c:pt idx="25">
                  <c:v>3450</c:v>
                </c:pt>
                <c:pt idx="26">
                  <c:v>26028.400000000001</c:v>
                </c:pt>
                <c:pt idx="27">
                  <c:v>0</c:v>
                </c:pt>
                <c:pt idx="28">
                  <c:v>14571.666666666668</c:v>
                </c:pt>
                <c:pt idx="29">
                  <c:v>18346.017647058823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D-4F0B-A169-6501F61F31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Diaria'!$A$159:$B$188</c:f>
              <c:multiLvlStrCache>
                <c:ptCount val="30"/>
                <c:lvl>
                  <c:pt idx="0">
                    <c:v>01/06/2020</c:v>
                  </c:pt>
                  <c:pt idx="1">
                    <c:v>02/06/2020</c:v>
                  </c:pt>
                  <c:pt idx="2">
                    <c:v>03/06/2020</c:v>
                  </c:pt>
                  <c:pt idx="3">
                    <c:v>04/06/2020</c:v>
                  </c:pt>
                  <c:pt idx="4">
                    <c:v>05/06/2020</c:v>
                  </c:pt>
                  <c:pt idx="5">
                    <c:v>06/06/2020</c:v>
                  </c:pt>
                  <c:pt idx="6">
                    <c:v>07/06/2020</c:v>
                  </c:pt>
                  <c:pt idx="7">
                    <c:v>08/06/2020</c:v>
                  </c:pt>
                  <c:pt idx="8">
                    <c:v>09/06/2020</c:v>
                  </c:pt>
                  <c:pt idx="9">
                    <c:v>10/06/2020</c:v>
                  </c:pt>
                  <c:pt idx="10">
                    <c:v>11/06/2020</c:v>
                  </c:pt>
                  <c:pt idx="11">
                    <c:v>12/06/2020</c:v>
                  </c:pt>
                  <c:pt idx="12">
                    <c:v>13/06/2020</c:v>
                  </c:pt>
                  <c:pt idx="13">
                    <c:v>14/06/2020</c:v>
                  </c:pt>
                  <c:pt idx="14">
                    <c:v>15/06/2020</c:v>
                  </c:pt>
                  <c:pt idx="15">
                    <c:v>16/06/2020</c:v>
                  </c:pt>
                  <c:pt idx="16">
                    <c:v>17/06/2020</c:v>
                  </c:pt>
                  <c:pt idx="17">
                    <c:v>18/06/2020</c:v>
                  </c:pt>
                  <c:pt idx="18">
                    <c:v>19/06/2020</c:v>
                  </c:pt>
                  <c:pt idx="19">
                    <c:v>20/06/2020</c:v>
                  </c:pt>
                  <c:pt idx="20">
                    <c:v>21/06/2020</c:v>
                  </c:pt>
                  <c:pt idx="21">
                    <c:v>22/06/2020</c:v>
                  </c:pt>
                  <c:pt idx="22">
                    <c:v>23/06/2020</c:v>
                  </c:pt>
                  <c:pt idx="23">
                    <c:v>24/06/2020</c:v>
                  </c:pt>
                  <c:pt idx="24">
                    <c:v>25/06/2020</c:v>
                  </c:pt>
                  <c:pt idx="25">
                    <c:v>26/06/2020</c:v>
                  </c:pt>
                  <c:pt idx="26">
                    <c:v>27/06/2020</c:v>
                  </c:pt>
                  <c:pt idx="27">
                    <c:v>28/06/2020</c:v>
                  </c:pt>
                  <c:pt idx="28">
                    <c:v>29/06/2020</c:v>
                  </c:pt>
                  <c:pt idx="29">
                    <c:v>30/06/2020</c:v>
                  </c:pt>
                </c:lvl>
                <c:lvl>
                  <c:pt idx="0">
                    <c:v>Junio</c:v>
                  </c:pt>
                </c:lvl>
              </c:multiLvlStrCache>
            </c:multiLvlStrRef>
          </c:cat>
          <c:val>
            <c:numRef>
              <c:f>'Tendencia Diaria'!$D$159:$D$188</c:f>
              <c:numCache>
                <c:formatCode>General</c:formatCode>
                <c:ptCount val="30"/>
                <c:pt idx="0">
                  <c:v>0</c:v>
                </c:pt>
                <c:pt idx="1">
                  <c:v>3702.5</c:v>
                </c:pt>
                <c:pt idx="2">
                  <c:v>958</c:v>
                </c:pt>
                <c:pt idx="3">
                  <c:v>221.89999999999986</c:v>
                </c:pt>
                <c:pt idx="4">
                  <c:v>2309.6235294117646</c:v>
                </c:pt>
                <c:pt idx="5">
                  <c:v>5205</c:v>
                </c:pt>
                <c:pt idx="6">
                  <c:v>0</c:v>
                </c:pt>
                <c:pt idx="7">
                  <c:v>3030.614222222222</c:v>
                </c:pt>
                <c:pt idx="8">
                  <c:v>5802.0066666666671</c:v>
                </c:pt>
                <c:pt idx="9">
                  <c:v>1522.26</c:v>
                </c:pt>
                <c:pt idx="10">
                  <c:v>656.81599999999992</c:v>
                </c:pt>
                <c:pt idx="11">
                  <c:v>434.3235294117647</c:v>
                </c:pt>
                <c:pt idx="12">
                  <c:v>1535.6666666666665</c:v>
                </c:pt>
                <c:pt idx="13">
                  <c:v>0</c:v>
                </c:pt>
                <c:pt idx="14">
                  <c:v>3158.7647058823532</c:v>
                </c:pt>
                <c:pt idx="15">
                  <c:v>2643.6660000000002</c:v>
                </c:pt>
                <c:pt idx="16">
                  <c:v>920</c:v>
                </c:pt>
                <c:pt idx="17">
                  <c:v>420.625</c:v>
                </c:pt>
                <c:pt idx="18">
                  <c:v>1084.3441176470585</c:v>
                </c:pt>
                <c:pt idx="19">
                  <c:v>1357.3094117647058</c:v>
                </c:pt>
                <c:pt idx="20">
                  <c:v>0</c:v>
                </c:pt>
                <c:pt idx="21">
                  <c:v>1560.2</c:v>
                </c:pt>
                <c:pt idx="22">
                  <c:v>1274.9976470588235</c:v>
                </c:pt>
                <c:pt idx="23">
                  <c:v>805.96570397111918</c:v>
                </c:pt>
                <c:pt idx="24">
                  <c:v>799.77777777777783</c:v>
                </c:pt>
                <c:pt idx="25">
                  <c:v>685.33333333333337</c:v>
                </c:pt>
                <c:pt idx="26">
                  <c:v>5944.1859999999997</c:v>
                </c:pt>
                <c:pt idx="27">
                  <c:v>0</c:v>
                </c:pt>
                <c:pt idx="28">
                  <c:v>2325.4444444444443</c:v>
                </c:pt>
                <c:pt idx="29">
                  <c:v>3043.1958823529412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D-4F0B-A169-6501F61F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889231"/>
        <c:axId val="552892559"/>
        <c:axId val="0"/>
      </c:bar3DChart>
      <c:catAx>
        <c:axId val="5528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92559"/>
        <c:crosses val="autoZero"/>
        <c:auto val="1"/>
        <c:lblAlgn val="ctr"/>
        <c:lblOffset val="100"/>
        <c:noMultiLvlLbl val="0"/>
      </c:catAx>
      <c:valAx>
        <c:axId val="5528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8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Tendencia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Diaria'!$A$190:$B$220</c:f>
              <c:multiLvlStrCache>
                <c:ptCount val="31"/>
                <c:lvl>
                  <c:pt idx="0">
                    <c:v>01/07/2020</c:v>
                  </c:pt>
                  <c:pt idx="1">
                    <c:v>02/07/2020</c:v>
                  </c:pt>
                  <c:pt idx="2">
                    <c:v>03/07/2020</c:v>
                  </c:pt>
                  <c:pt idx="3">
                    <c:v>04/07/2020</c:v>
                  </c:pt>
                  <c:pt idx="4">
                    <c:v>05/07/2020</c:v>
                  </c:pt>
                  <c:pt idx="5">
                    <c:v>06/07/2020</c:v>
                  </c:pt>
                  <c:pt idx="6">
                    <c:v>07/07/2020</c:v>
                  </c:pt>
                  <c:pt idx="7">
                    <c:v>08/07/2020</c:v>
                  </c:pt>
                  <c:pt idx="8">
                    <c:v>09/07/2020</c:v>
                  </c:pt>
                  <c:pt idx="9">
                    <c:v>10/07/2020</c:v>
                  </c:pt>
                  <c:pt idx="10">
                    <c:v>11/07/2020</c:v>
                  </c:pt>
                  <c:pt idx="11">
                    <c:v>12/07/2020</c:v>
                  </c:pt>
                  <c:pt idx="12">
                    <c:v>13/07/2020</c:v>
                  </c:pt>
                  <c:pt idx="13">
                    <c:v>14/07/2020</c:v>
                  </c:pt>
                  <c:pt idx="14">
                    <c:v>15/07/2020</c:v>
                  </c:pt>
                  <c:pt idx="15">
                    <c:v>16/07/2020</c:v>
                  </c:pt>
                  <c:pt idx="16">
                    <c:v>17/07/2020</c:v>
                  </c:pt>
                  <c:pt idx="17">
                    <c:v>18/07/2020</c:v>
                  </c:pt>
                  <c:pt idx="18">
                    <c:v>19/07/2020</c:v>
                  </c:pt>
                  <c:pt idx="19">
                    <c:v>20/07/2020</c:v>
                  </c:pt>
                  <c:pt idx="20">
                    <c:v>21/07/2020</c:v>
                  </c:pt>
                  <c:pt idx="21">
                    <c:v>22/07/2020</c:v>
                  </c:pt>
                  <c:pt idx="22">
                    <c:v>23/07/2020</c:v>
                  </c:pt>
                  <c:pt idx="23">
                    <c:v>24/07/2020</c:v>
                  </c:pt>
                  <c:pt idx="24">
                    <c:v>25/07/2020</c:v>
                  </c:pt>
                  <c:pt idx="25">
                    <c:v>26/07/2020</c:v>
                  </c:pt>
                  <c:pt idx="26">
                    <c:v>27/07/2020</c:v>
                  </c:pt>
                  <c:pt idx="27">
                    <c:v>28/07/2020</c:v>
                  </c:pt>
                  <c:pt idx="28">
                    <c:v>29/07/2020</c:v>
                  </c:pt>
                  <c:pt idx="29">
                    <c:v>30/07/2020</c:v>
                  </c:pt>
                  <c:pt idx="30">
                    <c:v>31/07/2020</c:v>
                  </c:pt>
                </c:lvl>
                <c:lvl>
                  <c:pt idx="0">
                    <c:v>Julio</c:v>
                  </c:pt>
                </c:lvl>
              </c:multiLvlStrCache>
            </c:multiLvlStrRef>
          </c:cat>
          <c:val>
            <c:numRef>
              <c:f>'Tendencia Diaria'!$C$190:$C$220</c:f>
              <c:numCache>
                <c:formatCode>General</c:formatCode>
                <c:ptCount val="31"/>
                <c:pt idx="0">
                  <c:v>3495</c:v>
                </c:pt>
                <c:pt idx="1">
                  <c:v>23554</c:v>
                </c:pt>
                <c:pt idx="2">
                  <c:v>3929.5</c:v>
                </c:pt>
                <c:pt idx="3">
                  <c:v>19530</c:v>
                </c:pt>
                <c:pt idx="4">
                  <c:v>0</c:v>
                </c:pt>
                <c:pt idx="5">
                  <c:v>1873.3333333333335</c:v>
                </c:pt>
                <c:pt idx="6">
                  <c:v>10292.200000000001</c:v>
                </c:pt>
                <c:pt idx="7">
                  <c:v>13070</c:v>
                </c:pt>
                <c:pt idx="8">
                  <c:v>21984.933333333331</c:v>
                </c:pt>
                <c:pt idx="9">
                  <c:v>34694.23529411765</c:v>
                </c:pt>
                <c:pt idx="10">
                  <c:v>13577.533333333333</c:v>
                </c:pt>
                <c:pt idx="11">
                  <c:v>0</c:v>
                </c:pt>
                <c:pt idx="12">
                  <c:v>17399.125</c:v>
                </c:pt>
                <c:pt idx="13">
                  <c:v>42393.052287581697</c:v>
                </c:pt>
                <c:pt idx="14">
                  <c:v>37377</c:v>
                </c:pt>
                <c:pt idx="15">
                  <c:v>17057.2</c:v>
                </c:pt>
                <c:pt idx="16">
                  <c:v>5034.6000000000004</c:v>
                </c:pt>
                <c:pt idx="17">
                  <c:v>39557</c:v>
                </c:pt>
                <c:pt idx="18">
                  <c:v>0</c:v>
                </c:pt>
                <c:pt idx="19">
                  <c:v>0</c:v>
                </c:pt>
                <c:pt idx="20">
                  <c:v>78381.533333333326</c:v>
                </c:pt>
                <c:pt idx="21">
                  <c:v>8163.1372549019607</c:v>
                </c:pt>
                <c:pt idx="22">
                  <c:v>5175.9150326797389</c:v>
                </c:pt>
                <c:pt idx="23">
                  <c:v>9910.373529411765</c:v>
                </c:pt>
                <c:pt idx="24">
                  <c:v>10201.985294117647</c:v>
                </c:pt>
                <c:pt idx="25">
                  <c:v>0</c:v>
                </c:pt>
                <c:pt idx="26">
                  <c:v>41468.800000000003</c:v>
                </c:pt>
                <c:pt idx="27">
                  <c:v>2078.4</c:v>
                </c:pt>
                <c:pt idx="28">
                  <c:v>14749.4</c:v>
                </c:pt>
                <c:pt idx="29">
                  <c:v>8361.0941176470587</c:v>
                </c:pt>
                <c:pt idx="30">
                  <c:v>9530.6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A-44BE-BDEE-17103E2A43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Diaria'!$A$190:$B$220</c:f>
              <c:multiLvlStrCache>
                <c:ptCount val="31"/>
                <c:lvl>
                  <c:pt idx="0">
                    <c:v>01/07/2020</c:v>
                  </c:pt>
                  <c:pt idx="1">
                    <c:v>02/07/2020</c:v>
                  </c:pt>
                  <c:pt idx="2">
                    <c:v>03/07/2020</c:v>
                  </c:pt>
                  <c:pt idx="3">
                    <c:v>04/07/2020</c:v>
                  </c:pt>
                  <c:pt idx="4">
                    <c:v>05/07/2020</c:v>
                  </c:pt>
                  <c:pt idx="5">
                    <c:v>06/07/2020</c:v>
                  </c:pt>
                  <c:pt idx="6">
                    <c:v>07/07/2020</c:v>
                  </c:pt>
                  <c:pt idx="7">
                    <c:v>08/07/2020</c:v>
                  </c:pt>
                  <c:pt idx="8">
                    <c:v>09/07/2020</c:v>
                  </c:pt>
                  <c:pt idx="9">
                    <c:v>10/07/2020</c:v>
                  </c:pt>
                  <c:pt idx="10">
                    <c:v>11/07/2020</c:v>
                  </c:pt>
                  <c:pt idx="11">
                    <c:v>12/07/2020</c:v>
                  </c:pt>
                  <c:pt idx="12">
                    <c:v>13/07/2020</c:v>
                  </c:pt>
                  <c:pt idx="13">
                    <c:v>14/07/2020</c:v>
                  </c:pt>
                  <c:pt idx="14">
                    <c:v>15/07/2020</c:v>
                  </c:pt>
                  <c:pt idx="15">
                    <c:v>16/07/2020</c:v>
                  </c:pt>
                  <c:pt idx="16">
                    <c:v>17/07/2020</c:v>
                  </c:pt>
                  <c:pt idx="17">
                    <c:v>18/07/2020</c:v>
                  </c:pt>
                  <c:pt idx="18">
                    <c:v>19/07/2020</c:v>
                  </c:pt>
                  <c:pt idx="19">
                    <c:v>20/07/2020</c:v>
                  </c:pt>
                  <c:pt idx="20">
                    <c:v>21/07/2020</c:v>
                  </c:pt>
                  <c:pt idx="21">
                    <c:v>22/07/2020</c:v>
                  </c:pt>
                  <c:pt idx="22">
                    <c:v>23/07/2020</c:v>
                  </c:pt>
                  <c:pt idx="23">
                    <c:v>24/07/2020</c:v>
                  </c:pt>
                  <c:pt idx="24">
                    <c:v>25/07/2020</c:v>
                  </c:pt>
                  <c:pt idx="25">
                    <c:v>26/07/2020</c:v>
                  </c:pt>
                  <c:pt idx="26">
                    <c:v>27/07/2020</c:v>
                  </c:pt>
                  <c:pt idx="27">
                    <c:v>28/07/2020</c:v>
                  </c:pt>
                  <c:pt idx="28">
                    <c:v>29/07/2020</c:v>
                  </c:pt>
                  <c:pt idx="29">
                    <c:v>30/07/2020</c:v>
                  </c:pt>
                  <c:pt idx="30">
                    <c:v>31/07/2020</c:v>
                  </c:pt>
                </c:lvl>
                <c:lvl>
                  <c:pt idx="0">
                    <c:v>Julio</c:v>
                  </c:pt>
                </c:lvl>
              </c:multiLvlStrCache>
            </c:multiLvlStrRef>
          </c:cat>
          <c:val>
            <c:numRef>
              <c:f>'Tendencia Diaria'!$D$190:$D$220</c:f>
              <c:numCache>
                <c:formatCode>General</c:formatCode>
                <c:ptCount val="31"/>
                <c:pt idx="0">
                  <c:v>1175.5</c:v>
                </c:pt>
                <c:pt idx="1">
                  <c:v>3426.6933333333336</c:v>
                </c:pt>
                <c:pt idx="2">
                  <c:v>920.73</c:v>
                </c:pt>
                <c:pt idx="3">
                  <c:v>4019</c:v>
                </c:pt>
                <c:pt idx="4">
                  <c:v>0</c:v>
                </c:pt>
                <c:pt idx="5">
                  <c:v>323.77777777777777</c:v>
                </c:pt>
                <c:pt idx="6">
                  <c:v>1202.9000000000001</c:v>
                </c:pt>
                <c:pt idx="7">
                  <c:v>2307</c:v>
                </c:pt>
                <c:pt idx="8">
                  <c:v>2441.83</c:v>
                </c:pt>
                <c:pt idx="9">
                  <c:v>4453.3617647058827</c:v>
                </c:pt>
                <c:pt idx="10">
                  <c:v>1854.8222222222221</c:v>
                </c:pt>
                <c:pt idx="11">
                  <c:v>0</c:v>
                </c:pt>
                <c:pt idx="12">
                  <c:v>2046.14</c:v>
                </c:pt>
                <c:pt idx="13">
                  <c:v>3478.7797254901957</c:v>
                </c:pt>
                <c:pt idx="14">
                  <c:v>5439.576</c:v>
                </c:pt>
                <c:pt idx="15">
                  <c:v>3781.36</c:v>
                </c:pt>
                <c:pt idx="16">
                  <c:v>883.54</c:v>
                </c:pt>
                <c:pt idx="17">
                  <c:v>6101.7280000000001</c:v>
                </c:pt>
                <c:pt idx="18">
                  <c:v>0</c:v>
                </c:pt>
                <c:pt idx="19">
                  <c:v>0</c:v>
                </c:pt>
                <c:pt idx="20">
                  <c:v>10973.72311111111</c:v>
                </c:pt>
                <c:pt idx="21">
                  <c:v>1088.07508496732</c:v>
                </c:pt>
                <c:pt idx="22">
                  <c:v>994.57819607843135</c:v>
                </c:pt>
                <c:pt idx="23">
                  <c:v>1765.4721764705882</c:v>
                </c:pt>
                <c:pt idx="24">
                  <c:v>1498.3867647058823</c:v>
                </c:pt>
                <c:pt idx="25">
                  <c:v>0</c:v>
                </c:pt>
                <c:pt idx="26">
                  <c:v>9709.4</c:v>
                </c:pt>
                <c:pt idx="27">
                  <c:v>326.76</c:v>
                </c:pt>
                <c:pt idx="28">
                  <c:v>2658.04</c:v>
                </c:pt>
                <c:pt idx="29">
                  <c:v>1587.7047058823532</c:v>
                </c:pt>
                <c:pt idx="30">
                  <c:v>1583.76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A-44BE-BDEE-17103E2A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890479"/>
        <c:axId val="552890063"/>
        <c:axId val="0"/>
      </c:bar3DChart>
      <c:catAx>
        <c:axId val="5528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90063"/>
        <c:crosses val="autoZero"/>
        <c:auto val="1"/>
        <c:lblAlgn val="ctr"/>
        <c:lblOffset val="100"/>
        <c:noMultiLvlLbl val="0"/>
      </c:catAx>
      <c:valAx>
        <c:axId val="5528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Tendencia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Diaria'!$A$222:$B$252</c:f>
              <c:multiLvlStrCache>
                <c:ptCount val="31"/>
                <c:lvl>
                  <c:pt idx="0">
                    <c:v>01/08/2020</c:v>
                  </c:pt>
                  <c:pt idx="1">
                    <c:v>02/08/2020</c:v>
                  </c:pt>
                  <c:pt idx="2">
                    <c:v>03/08/2020</c:v>
                  </c:pt>
                  <c:pt idx="3">
                    <c:v>04/08/2020</c:v>
                  </c:pt>
                  <c:pt idx="4">
                    <c:v>05/08/2020</c:v>
                  </c:pt>
                  <c:pt idx="5">
                    <c:v>06/08/2020</c:v>
                  </c:pt>
                  <c:pt idx="6">
                    <c:v>07/08/2020</c:v>
                  </c:pt>
                  <c:pt idx="7">
                    <c:v>08/08/2020</c:v>
                  </c:pt>
                  <c:pt idx="8">
                    <c:v>09/08/2020</c:v>
                  </c:pt>
                  <c:pt idx="9">
                    <c:v>10/08/2020</c:v>
                  </c:pt>
                  <c:pt idx="10">
                    <c:v>11/08/2020</c:v>
                  </c:pt>
                  <c:pt idx="11">
                    <c:v>12/08/2020</c:v>
                  </c:pt>
                  <c:pt idx="12">
                    <c:v>13/08/2020</c:v>
                  </c:pt>
                  <c:pt idx="13">
                    <c:v>14/08/2020</c:v>
                  </c:pt>
                  <c:pt idx="14">
                    <c:v>15/08/2020</c:v>
                  </c:pt>
                  <c:pt idx="15">
                    <c:v>16/08/2020</c:v>
                  </c:pt>
                  <c:pt idx="16">
                    <c:v>17/08/2020</c:v>
                  </c:pt>
                  <c:pt idx="17">
                    <c:v>18/08/2020</c:v>
                  </c:pt>
                  <c:pt idx="18">
                    <c:v>19/08/2020</c:v>
                  </c:pt>
                  <c:pt idx="19">
                    <c:v>20/08/2020</c:v>
                  </c:pt>
                  <c:pt idx="20">
                    <c:v>21/08/2020</c:v>
                  </c:pt>
                  <c:pt idx="21">
                    <c:v>22/08/2020</c:v>
                  </c:pt>
                  <c:pt idx="22">
                    <c:v>23/08/2020</c:v>
                  </c:pt>
                  <c:pt idx="23">
                    <c:v>24/08/2020</c:v>
                  </c:pt>
                  <c:pt idx="24">
                    <c:v>25/08/2020</c:v>
                  </c:pt>
                  <c:pt idx="25">
                    <c:v>26/08/2020</c:v>
                  </c:pt>
                  <c:pt idx="26">
                    <c:v>27/08/2020</c:v>
                  </c:pt>
                  <c:pt idx="27">
                    <c:v>28/08/2020</c:v>
                  </c:pt>
                  <c:pt idx="28">
                    <c:v>29/08/2020</c:v>
                  </c:pt>
                  <c:pt idx="29">
                    <c:v>30/08/2020</c:v>
                  </c:pt>
                  <c:pt idx="30">
                    <c:v>31/08/2020</c:v>
                  </c:pt>
                </c:lvl>
                <c:lvl>
                  <c:pt idx="0">
                    <c:v>Agosto</c:v>
                  </c:pt>
                </c:lvl>
              </c:multiLvlStrCache>
            </c:multiLvlStrRef>
          </c:cat>
          <c:val>
            <c:numRef>
              <c:f>'Tendencia Diaria'!$C$222:$C$252</c:f>
              <c:numCache>
                <c:formatCode>General</c:formatCode>
                <c:ptCount val="31"/>
                <c:pt idx="0">
                  <c:v>10348.375</c:v>
                </c:pt>
                <c:pt idx="1">
                  <c:v>0</c:v>
                </c:pt>
                <c:pt idx="2">
                  <c:v>29132.2</c:v>
                </c:pt>
                <c:pt idx="3">
                  <c:v>17055</c:v>
                </c:pt>
                <c:pt idx="4">
                  <c:v>19280</c:v>
                </c:pt>
                <c:pt idx="5">
                  <c:v>21558.3</c:v>
                </c:pt>
                <c:pt idx="6">
                  <c:v>14150</c:v>
                </c:pt>
                <c:pt idx="7">
                  <c:v>18840.588235294119</c:v>
                </c:pt>
                <c:pt idx="8">
                  <c:v>0</c:v>
                </c:pt>
                <c:pt idx="9">
                  <c:v>29980.294117647059</c:v>
                </c:pt>
                <c:pt idx="10">
                  <c:v>23887.4</c:v>
                </c:pt>
                <c:pt idx="11">
                  <c:v>2690.5333333333333</c:v>
                </c:pt>
                <c:pt idx="12">
                  <c:v>9237.5</c:v>
                </c:pt>
                <c:pt idx="13">
                  <c:v>24260</c:v>
                </c:pt>
                <c:pt idx="14">
                  <c:v>9635.3549999999996</c:v>
                </c:pt>
                <c:pt idx="15">
                  <c:v>0</c:v>
                </c:pt>
                <c:pt idx="16">
                  <c:v>20939.578431372549</c:v>
                </c:pt>
                <c:pt idx="17">
                  <c:v>16457.729411764703</c:v>
                </c:pt>
                <c:pt idx="18">
                  <c:v>9323.0352941176461</c:v>
                </c:pt>
                <c:pt idx="19">
                  <c:v>17396.129081632651</c:v>
                </c:pt>
                <c:pt idx="20">
                  <c:v>5776.1111111111113</c:v>
                </c:pt>
                <c:pt idx="21">
                  <c:v>26620</c:v>
                </c:pt>
                <c:pt idx="22">
                  <c:v>0</c:v>
                </c:pt>
                <c:pt idx="23">
                  <c:v>22625.666666666664</c:v>
                </c:pt>
                <c:pt idx="24">
                  <c:v>31177.794117647056</c:v>
                </c:pt>
                <c:pt idx="25">
                  <c:v>12942.941176470587</c:v>
                </c:pt>
                <c:pt idx="26">
                  <c:v>941</c:v>
                </c:pt>
                <c:pt idx="27">
                  <c:v>11601.5</c:v>
                </c:pt>
                <c:pt idx="28">
                  <c:v>3340.2</c:v>
                </c:pt>
                <c:pt idx="29">
                  <c:v>0</c:v>
                </c:pt>
                <c:pt idx="30">
                  <c:v>19740.294117647059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7-4642-9858-179C29D206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Diaria'!$A$222:$B$252</c:f>
              <c:multiLvlStrCache>
                <c:ptCount val="31"/>
                <c:lvl>
                  <c:pt idx="0">
                    <c:v>01/08/2020</c:v>
                  </c:pt>
                  <c:pt idx="1">
                    <c:v>02/08/2020</c:v>
                  </c:pt>
                  <c:pt idx="2">
                    <c:v>03/08/2020</c:v>
                  </c:pt>
                  <c:pt idx="3">
                    <c:v>04/08/2020</c:v>
                  </c:pt>
                  <c:pt idx="4">
                    <c:v>05/08/2020</c:v>
                  </c:pt>
                  <c:pt idx="5">
                    <c:v>06/08/2020</c:v>
                  </c:pt>
                  <c:pt idx="6">
                    <c:v>07/08/2020</c:v>
                  </c:pt>
                  <c:pt idx="7">
                    <c:v>08/08/2020</c:v>
                  </c:pt>
                  <c:pt idx="8">
                    <c:v>09/08/2020</c:v>
                  </c:pt>
                  <c:pt idx="9">
                    <c:v>10/08/2020</c:v>
                  </c:pt>
                  <c:pt idx="10">
                    <c:v>11/08/2020</c:v>
                  </c:pt>
                  <c:pt idx="11">
                    <c:v>12/08/2020</c:v>
                  </c:pt>
                  <c:pt idx="12">
                    <c:v>13/08/2020</c:v>
                  </c:pt>
                  <c:pt idx="13">
                    <c:v>14/08/2020</c:v>
                  </c:pt>
                  <c:pt idx="14">
                    <c:v>15/08/2020</c:v>
                  </c:pt>
                  <c:pt idx="15">
                    <c:v>16/08/2020</c:v>
                  </c:pt>
                  <c:pt idx="16">
                    <c:v>17/08/2020</c:v>
                  </c:pt>
                  <c:pt idx="17">
                    <c:v>18/08/2020</c:v>
                  </c:pt>
                  <c:pt idx="18">
                    <c:v>19/08/2020</c:v>
                  </c:pt>
                  <c:pt idx="19">
                    <c:v>20/08/2020</c:v>
                  </c:pt>
                  <c:pt idx="20">
                    <c:v>21/08/2020</c:v>
                  </c:pt>
                  <c:pt idx="21">
                    <c:v>22/08/2020</c:v>
                  </c:pt>
                  <c:pt idx="22">
                    <c:v>23/08/2020</c:v>
                  </c:pt>
                  <c:pt idx="23">
                    <c:v>24/08/2020</c:v>
                  </c:pt>
                  <c:pt idx="24">
                    <c:v>25/08/2020</c:v>
                  </c:pt>
                  <c:pt idx="25">
                    <c:v>26/08/2020</c:v>
                  </c:pt>
                  <c:pt idx="26">
                    <c:v>27/08/2020</c:v>
                  </c:pt>
                  <c:pt idx="27">
                    <c:v>28/08/2020</c:v>
                  </c:pt>
                  <c:pt idx="28">
                    <c:v>29/08/2020</c:v>
                  </c:pt>
                  <c:pt idx="29">
                    <c:v>30/08/2020</c:v>
                  </c:pt>
                  <c:pt idx="30">
                    <c:v>31/08/2020</c:v>
                  </c:pt>
                </c:lvl>
                <c:lvl>
                  <c:pt idx="0">
                    <c:v>Agosto</c:v>
                  </c:pt>
                </c:lvl>
              </c:multiLvlStrCache>
            </c:multiLvlStrRef>
          </c:cat>
          <c:val>
            <c:numRef>
              <c:f>'Tendencia Diaria'!$D$222:$D$252</c:f>
              <c:numCache>
                <c:formatCode>General</c:formatCode>
                <c:ptCount val="31"/>
                <c:pt idx="0">
                  <c:v>1655.9625000000001</c:v>
                </c:pt>
                <c:pt idx="1">
                  <c:v>0</c:v>
                </c:pt>
                <c:pt idx="2">
                  <c:v>4877.8200000000015</c:v>
                </c:pt>
                <c:pt idx="3">
                  <c:v>2622</c:v>
                </c:pt>
                <c:pt idx="4">
                  <c:v>3008</c:v>
                </c:pt>
                <c:pt idx="5">
                  <c:v>2240.9499999999994</c:v>
                </c:pt>
                <c:pt idx="6">
                  <c:v>2068</c:v>
                </c:pt>
                <c:pt idx="7">
                  <c:v>1834.5294117647059</c:v>
                </c:pt>
                <c:pt idx="8">
                  <c:v>0</c:v>
                </c:pt>
                <c:pt idx="9">
                  <c:v>5821.1380392156861</c:v>
                </c:pt>
                <c:pt idx="10">
                  <c:v>4721.1099999999997</c:v>
                </c:pt>
                <c:pt idx="11">
                  <c:v>444.9255555555556</c:v>
                </c:pt>
                <c:pt idx="12">
                  <c:v>1255.5</c:v>
                </c:pt>
                <c:pt idx="13">
                  <c:v>2779.2</c:v>
                </c:pt>
                <c:pt idx="14">
                  <c:v>1462.0350000000001</c:v>
                </c:pt>
                <c:pt idx="15">
                  <c:v>0</c:v>
                </c:pt>
                <c:pt idx="16">
                  <c:v>3501.7983660130717</c:v>
                </c:pt>
                <c:pt idx="17">
                  <c:v>2243.4864705882346</c:v>
                </c:pt>
                <c:pt idx="18">
                  <c:v>1238.1117647058823</c:v>
                </c:pt>
                <c:pt idx="19">
                  <c:v>3090.7420521541949</c:v>
                </c:pt>
                <c:pt idx="20">
                  <c:v>968.33333333333326</c:v>
                </c:pt>
                <c:pt idx="21">
                  <c:v>3812</c:v>
                </c:pt>
                <c:pt idx="22">
                  <c:v>0</c:v>
                </c:pt>
                <c:pt idx="23">
                  <c:v>3524.8777777777777</c:v>
                </c:pt>
                <c:pt idx="24">
                  <c:v>6952.2647058823532</c:v>
                </c:pt>
                <c:pt idx="25">
                  <c:v>1575.7026143790852</c:v>
                </c:pt>
                <c:pt idx="26">
                  <c:v>172.35833333333338</c:v>
                </c:pt>
                <c:pt idx="27">
                  <c:v>2576.6866666666665</c:v>
                </c:pt>
                <c:pt idx="28">
                  <c:v>883.52</c:v>
                </c:pt>
                <c:pt idx="29">
                  <c:v>0</c:v>
                </c:pt>
                <c:pt idx="30">
                  <c:v>3120.2647058823532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7-4642-9858-179C29D2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891727"/>
        <c:axId val="552894223"/>
        <c:axId val="0"/>
      </c:bar3DChart>
      <c:catAx>
        <c:axId val="5528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94223"/>
        <c:crosses val="autoZero"/>
        <c:auto val="1"/>
        <c:lblAlgn val="ctr"/>
        <c:lblOffset val="100"/>
        <c:noMultiLvlLbl val="0"/>
      </c:catAx>
      <c:valAx>
        <c:axId val="5528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28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Tendencia Diaria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Diaria'!$A$254:$B$283</c:f>
              <c:multiLvlStrCache>
                <c:ptCount val="30"/>
                <c:lvl>
                  <c:pt idx="0">
                    <c:v>01/09/2020</c:v>
                  </c:pt>
                  <c:pt idx="1">
                    <c:v>02/09/2020</c:v>
                  </c:pt>
                  <c:pt idx="2">
                    <c:v>03/09/2020</c:v>
                  </c:pt>
                  <c:pt idx="3">
                    <c:v>04/09/2020</c:v>
                  </c:pt>
                  <c:pt idx="4">
                    <c:v>05/09/2020</c:v>
                  </c:pt>
                  <c:pt idx="5">
                    <c:v>06/09/2020</c:v>
                  </c:pt>
                  <c:pt idx="6">
                    <c:v>07/09/2020</c:v>
                  </c:pt>
                  <c:pt idx="7">
                    <c:v>08/09/2020</c:v>
                  </c:pt>
                  <c:pt idx="8">
                    <c:v>09/09/2020</c:v>
                  </c:pt>
                  <c:pt idx="9">
                    <c:v>10/09/2020</c:v>
                  </c:pt>
                  <c:pt idx="10">
                    <c:v>11/09/2020</c:v>
                  </c:pt>
                  <c:pt idx="11">
                    <c:v>12/09/2020</c:v>
                  </c:pt>
                  <c:pt idx="12">
                    <c:v>13/09/2020</c:v>
                  </c:pt>
                  <c:pt idx="13">
                    <c:v>14/09/2020</c:v>
                  </c:pt>
                  <c:pt idx="14">
                    <c:v>15/09/2020</c:v>
                  </c:pt>
                  <c:pt idx="15">
                    <c:v>16/09/2020</c:v>
                  </c:pt>
                  <c:pt idx="16">
                    <c:v>17/09/2020</c:v>
                  </c:pt>
                  <c:pt idx="17">
                    <c:v>18/09/2020</c:v>
                  </c:pt>
                  <c:pt idx="18">
                    <c:v>19/09/2020</c:v>
                  </c:pt>
                  <c:pt idx="19">
                    <c:v>20/09/2020</c:v>
                  </c:pt>
                  <c:pt idx="20">
                    <c:v>21/09/2020</c:v>
                  </c:pt>
                  <c:pt idx="21">
                    <c:v>22/09/2020</c:v>
                  </c:pt>
                  <c:pt idx="22">
                    <c:v>23/09/2020</c:v>
                  </c:pt>
                  <c:pt idx="23">
                    <c:v>24/09/2020</c:v>
                  </c:pt>
                  <c:pt idx="24">
                    <c:v>25/09/2020</c:v>
                  </c:pt>
                  <c:pt idx="25">
                    <c:v>26/09/2020</c:v>
                  </c:pt>
                  <c:pt idx="26">
                    <c:v>27/09/2020</c:v>
                  </c:pt>
                  <c:pt idx="27">
                    <c:v>28/09/2020</c:v>
                  </c:pt>
                  <c:pt idx="28">
                    <c:v>29/09/2020</c:v>
                  </c:pt>
                  <c:pt idx="29">
                    <c:v>30/09/2020</c:v>
                  </c:pt>
                </c:lvl>
                <c:lvl>
                  <c:pt idx="0">
                    <c:v>Septiembre</c:v>
                  </c:pt>
                </c:lvl>
              </c:multiLvlStrCache>
            </c:multiLvlStrRef>
          </c:cat>
          <c:val>
            <c:numRef>
              <c:f>'Tendencia Diaria'!$C$254:$C$283</c:f>
              <c:numCache>
                <c:formatCode>General</c:formatCode>
                <c:ptCount val="30"/>
                <c:pt idx="0">
                  <c:v>20038.852941176472</c:v>
                </c:pt>
                <c:pt idx="1">
                  <c:v>9857.85</c:v>
                </c:pt>
                <c:pt idx="2">
                  <c:v>35717.45102040816</c:v>
                </c:pt>
                <c:pt idx="3">
                  <c:v>6538.45</c:v>
                </c:pt>
                <c:pt idx="4">
                  <c:v>69810</c:v>
                </c:pt>
                <c:pt idx="5">
                  <c:v>0</c:v>
                </c:pt>
                <c:pt idx="6">
                  <c:v>5209.0627450980392</c:v>
                </c:pt>
                <c:pt idx="7">
                  <c:v>26440.454545454544</c:v>
                </c:pt>
                <c:pt idx="8">
                  <c:v>12635</c:v>
                </c:pt>
                <c:pt idx="9">
                  <c:v>3380</c:v>
                </c:pt>
                <c:pt idx="10">
                  <c:v>12588.725490196079</c:v>
                </c:pt>
                <c:pt idx="11">
                  <c:v>3591.1274509803916</c:v>
                </c:pt>
                <c:pt idx="12">
                  <c:v>0</c:v>
                </c:pt>
                <c:pt idx="13">
                  <c:v>19363</c:v>
                </c:pt>
                <c:pt idx="14">
                  <c:v>0</c:v>
                </c:pt>
                <c:pt idx="15">
                  <c:v>36951.090909090912</c:v>
                </c:pt>
                <c:pt idx="16">
                  <c:v>19173</c:v>
                </c:pt>
                <c:pt idx="17">
                  <c:v>18405.650000000001</c:v>
                </c:pt>
                <c:pt idx="18">
                  <c:v>19231</c:v>
                </c:pt>
                <c:pt idx="19">
                  <c:v>0</c:v>
                </c:pt>
                <c:pt idx="20">
                  <c:v>19241.977777777778</c:v>
                </c:pt>
                <c:pt idx="21">
                  <c:v>16363.529411764706</c:v>
                </c:pt>
                <c:pt idx="22">
                  <c:v>3765</c:v>
                </c:pt>
                <c:pt idx="23">
                  <c:v>32386.553594771241</c:v>
                </c:pt>
                <c:pt idx="24">
                  <c:v>9786.1333333333332</c:v>
                </c:pt>
                <c:pt idx="25">
                  <c:v>25032.861111111109</c:v>
                </c:pt>
                <c:pt idx="26">
                  <c:v>0</c:v>
                </c:pt>
                <c:pt idx="27">
                  <c:v>11463.970588235292</c:v>
                </c:pt>
                <c:pt idx="28">
                  <c:v>30150</c:v>
                </c:pt>
                <c:pt idx="29">
                  <c:v>13601.402777777777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8-403E-8E37-BFF4B7CE68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'Tendencia Diaria'!$A$254:$B$283</c:f>
              <c:multiLvlStrCache>
                <c:ptCount val="30"/>
                <c:lvl>
                  <c:pt idx="0">
                    <c:v>01/09/2020</c:v>
                  </c:pt>
                  <c:pt idx="1">
                    <c:v>02/09/2020</c:v>
                  </c:pt>
                  <c:pt idx="2">
                    <c:v>03/09/2020</c:v>
                  </c:pt>
                  <c:pt idx="3">
                    <c:v>04/09/2020</c:v>
                  </c:pt>
                  <c:pt idx="4">
                    <c:v>05/09/2020</c:v>
                  </c:pt>
                  <c:pt idx="5">
                    <c:v>06/09/2020</c:v>
                  </c:pt>
                  <c:pt idx="6">
                    <c:v>07/09/2020</c:v>
                  </c:pt>
                  <c:pt idx="7">
                    <c:v>08/09/2020</c:v>
                  </c:pt>
                  <c:pt idx="8">
                    <c:v>09/09/2020</c:v>
                  </c:pt>
                  <c:pt idx="9">
                    <c:v>10/09/2020</c:v>
                  </c:pt>
                  <c:pt idx="10">
                    <c:v>11/09/2020</c:v>
                  </c:pt>
                  <c:pt idx="11">
                    <c:v>12/09/2020</c:v>
                  </c:pt>
                  <c:pt idx="12">
                    <c:v>13/09/2020</c:v>
                  </c:pt>
                  <c:pt idx="13">
                    <c:v>14/09/2020</c:v>
                  </c:pt>
                  <c:pt idx="14">
                    <c:v>15/09/2020</c:v>
                  </c:pt>
                  <c:pt idx="15">
                    <c:v>16/09/2020</c:v>
                  </c:pt>
                  <c:pt idx="16">
                    <c:v>17/09/2020</c:v>
                  </c:pt>
                  <c:pt idx="17">
                    <c:v>18/09/2020</c:v>
                  </c:pt>
                  <c:pt idx="18">
                    <c:v>19/09/2020</c:v>
                  </c:pt>
                  <c:pt idx="19">
                    <c:v>20/09/2020</c:v>
                  </c:pt>
                  <c:pt idx="20">
                    <c:v>21/09/2020</c:v>
                  </c:pt>
                  <c:pt idx="21">
                    <c:v>22/09/2020</c:v>
                  </c:pt>
                  <c:pt idx="22">
                    <c:v>23/09/2020</c:v>
                  </c:pt>
                  <c:pt idx="23">
                    <c:v>24/09/2020</c:v>
                  </c:pt>
                  <c:pt idx="24">
                    <c:v>25/09/2020</c:v>
                  </c:pt>
                  <c:pt idx="25">
                    <c:v>26/09/2020</c:v>
                  </c:pt>
                  <c:pt idx="26">
                    <c:v>27/09/2020</c:v>
                  </c:pt>
                  <c:pt idx="27">
                    <c:v>28/09/2020</c:v>
                  </c:pt>
                  <c:pt idx="28">
                    <c:v>29/09/2020</c:v>
                  </c:pt>
                  <c:pt idx="29">
                    <c:v>30/09/2020</c:v>
                  </c:pt>
                </c:lvl>
                <c:lvl>
                  <c:pt idx="0">
                    <c:v>Septiembre</c:v>
                  </c:pt>
                </c:lvl>
              </c:multiLvlStrCache>
            </c:multiLvlStrRef>
          </c:cat>
          <c:val>
            <c:numRef>
              <c:f>'Tendencia Diaria'!$D$254:$D$283</c:f>
              <c:numCache>
                <c:formatCode>General</c:formatCode>
                <c:ptCount val="30"/>
                <c:pt idx="0">
                  <c:v>4344.6376470588229</c:v>
                </c:pt>
                <c:pt idx="1">
                  <c:v>1414.13</c:v>
                </c:pt>
                <c:pt idx="2">
                  <c:v>5412.4440136054418</c:v>
                </c:pt>
                <c:pt idx="3">
                  <c:v>1211.2649999999999</c:v>
                </c:pt>
                <c:pt idx="4">
                  <c:v>11181.960000000001</c:v>
                </c:pt>
                <c:pt idx="5">
                  <c:v>0</c:v>
                </c:pt>
                <c:pt idx="6">
                  <c:v>562.99091503267982</c:v>
                </c:pt>
                <c:pt idx="7">
                  <c:v>4503.1545454545449</c:v>
                </c:pt>
                <c:pt idx="8">
                  <c:v>2388</c:v>
                </c:pt>
                <c:pt idx="9">
                  <c:v>568</c:v>
                </c:pt>
                <c:pt idx="10">
                  <c:v>1971.2418300653596</c:v>
                </c:pt>
                <c:pt idx="11">
                  <c:v>472.56470588235294</c:v>
                </c:pt>
                <c:pt idx="12">
                  <c:v>0</c:v>
                </c:pt>
                <c:pt idx="13">
                  <c:v>4141.2</c:v>
                </c:pt>
                <c:pt idx="14">
                  <c:v>0</c:v>
                </c:pt>
                <c:pt idx="15">
                  <c:v>6402.4397979797986</c:v>
                </c:pt>
                <c:pt idx="16">
                  <c:v>3318.7999999999997</c:v>
                </c:pt>
                <c:pt idx="17">
                  <c:v>2827.39</c:v>
                </c:pt>
                <c:pt idx="18">
                  <c:v>2709.7</c:v>
                </c:pt>
                <c:pt idx="19">
                  <c:v>0</c:v>
                </c:pt>
                <c:pt idx="20">
                  <c:v>3272.0333333333328</c:v>
                </c:pt>
                <c:pt idx="21">
                  <c:v>2856.6764705882351</c:v>
                </c:pt>
                <c:pt idx="22">
                  <c:v>534.83333333333337</c:v>
                </c:pt>
                <c:pt idx="23">
                  <c:v>4549.0660130718952</c:v>
                </c:pt>
                <c:pt idx="24">
                  <c:v>1194.9933333333333</c:v>
                </c:pt>
                <c:pt idx="25">
                  <c:v>3817.5083333333332</c:v>
                </c:pt>
                <c:pt idx="26">
                  <c:v>0</c:v>
                </c:pt>
                <c:pt idx="27">
                  <c:v>1815.5735294117646</c:v>
                </c:pt>
                <c:pt idx="28">
                  <c:v>3502</c:v>
                </c:pt>
                <c:pt idx="29">
                  <c:v>1940.8041666666668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8-403E-8E37-BFF4B7CE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507455"/>
        <c:axId val="502505375"/>
        <c:axId val="0"/>
      </c:bar3DChart>
      <c:catAx>
        <c:axId val="50250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505375"/>
        <c:crosses val="autoZero"/>
        <c:auto val="1"/>
        <c:lblAlgn val="ctr"/>
        <c:lblOffset val="100"/>
        <c:noMultiLvlLbl val="0"/>
      </c:catAx>
      <c:valAx>
        <c:axId val="5025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50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109537</xdr:rowOff>
    </xdr:from>
    <xdr:to>
      <xdr:col>11</xdr:col>
      <xdr:colOff>409575</xdr:colOff>
      <xdr:row>17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35</xdr:row>
      <xdr:rowOff>119062</xdr:rowOff>
    </xdr:from>
    <xdr:to>
      <xdr:col>11</xdr:col>
      <xdr:colOff>742950</xdr:colOff>
      <xdr:row>50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67</xdr:row>
      <xdr:rowOff>4762</xdr:rowOff>
    </xdr:from>
    <xdr:to>
      <xdr:col>11</xdr:col>
      <xdr:colOff>266700</xdr:colOff>
      <xdr:row>81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604837</xdr:colOff>
      <xdr:row>99</xdr:row>
      <xdr:rowOff>147637</xdr:rowOff>
    </xdr:from>
    <xdr:to>
      <xdr:col>11</xdr:col>
      <xdr:colOff>557212</xdr:colOff>
      <xdr:row>114</xdr:row>
      <xdr:rowOff>33337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442912</xdr:colOff>
      <xdr:row>128</xdr:row>
      <xdr:rowOff>23812</xdr:rowOff>
    </xdr:from>
    <xdr:to>
      <xdr:col>11</xdr:col>
      <xdr:colOff>395287</xdr:colOff>
      <xdr:row>142</xdr:row>
      <xdr:rowOff>100012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547687</xdr:colOff>
      <xdr:row>159</xdr:row>
      <xdr:rowOff>42862</xdr:rowOff>
    </xdr:from>
    <xdr:to>
      <xdr:col>11</xdr:col>
      <xdr:colOff>500062</xdr:colOff>
      <xdr:row>173</xdr:row>
      <xdr:rowOff>119062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614362</xdr:colOff>
      <xdr:row>191</xdr:row>
      <xdr:rowOff>166687</xdr:rowOff>
    </xdr:from>
    <xdr:to>
      <xdr:col>11</xdr:col>
      <xdr:colOff>566737</xdr:colOff>
      <xdr:row>206</xdr:row>
      <xdr:rowOff>52387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461962</xdr:colOff>
      <xdr:row>228</xdr:row>
      <xdr:rowOff>23812</xdr:rowOff>
    </xdr:from>
    <xdr:to>
      <xdr:col>11</xdr:col>
      <xdr:colOff>414337</xdr:colOff>
      <xdr:row>242</xdr:row>
      <xdr:rowOff>100012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366712</xdr:colOff>
      <xdr:row>253</xdr:row>
      <xdr:rowOff>90487</xdr:rowOff>
    </xdr:from>
    <xdr:to>
      <xdr:col>11</xdr:col>
      <xdr:colOff>319087</xdr:colOff>
      <xdr:row>267</xdr:row>
      <xdr:rowOff>157162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452437</xdr:colOff>
      <xdr:row>289</xdr:row>
      <xdr:rowOff>157162</xdr:rowOff>
    </xdr:from>
    <xdr:to>
      <xdr:col>11</xdr:col>
      <xdr:colOff>404812</xdr:colOff>
      <xdr:row>304</xdr:row>
      <xdr:rowOff>42862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404812</xdr:colOff>
      <xdr:row>321</xdr:row>
      <xdr:rowOff>52387</xdr:rowOff>
    </xdr:from>
    <xdr:to>
      <xdr:col>11</xdr:col>
      <xdr:colOff>357187</xdr:colOff>
      <xdr:row>335</xdr:row>
      <xdr:rowOff>128587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109537</xdr:colOff>
      <xdr:row>350</xdr:row>
      <xdr:rowOff>185737</xdr:rowOff>
    </xdr:from>
    <xdr:to>
      <xdr:col>12</xdr:col>
      <xdr:colOff>61912</xdr:colOff>
      <xdr:row>365</xdr:row>
      <xdr:rowOff>71437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47631</xdr:rowOff>
    </xdr:from>
    <xdr:to>
      <xdr:col>17</xdr:col>
      <xdr:colOff>38100</xdr:colOff>
      <xdr:row>14</xdr:row>
      <xdr:rowOff>38106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14</xdr:row>
      <xdr:rowOff>114306</xdr:rowOff>
    </xdr:from>
    <xdr:to>
      <xdr:col>17</xdr:col>
      <xdr:colOff>28575</xdr:colOff>
      <xdr:row>28</xdr:row>
      <xdr:rowOff>114306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dy Coronado" refreshedDate="44177.749470138886" createdVersion="6" refreshedVersion="6" minRefreshableVersion="3" recordCount="536">
  <cacheSource type="worksheet">
    <worksheetSource name="Ventas"/>
  </cacheSource>
  <cacheFields count="15">
    <cacheField name="Item" numFmtId="0">
      <sharedItems containsSemiMixedTypes="0" containsString="0" containsNumber="1" containsInteger="1" minValue="1" maxValue="392"/>
    </cacheField>
    <cacheField name="Fecha " numFmtId="14">
      <sharedItems containsSemiMixedTypes="0" containsNonDate="0" containsDate="1" containsString="0" minDate="2020-11-10T00:00:00" maxDate="2020-12-13T00:00:00" count="28"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19T00:00:00"/>
        <d v="2020-11-20T00:00:00"/>
        <d v="2020-11-21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3T00:00:00"/>
        <d v="2020-12-04T00:00:00"/>
        <d v="2020-12-05T00:00:00"/>
        <d v="2020-12-07T00:00:00"/>
        <d v="2020-12-09T00:00:00"/>
        <d v="2020-12-10T00:00:00"/>
        <d v="2020-12-11T00:00:00"/>
        <d v="2020-12-12T00:00:00"/>
      </sharedItems>
      <fieldGroup par="14" base="1">
        <rangePr groupBy="days" startDate="2020-11-10T00:00:00" endDate="2020-12-13T00:00:00"/>
        <groupItems count="368">
          <s v="&lt;10/1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3/12/2020"/>
        </groupItems>
      </fieldGroup>
    </cacheField>
    <cacheField name="Mes" numFmtId="0">
      <sharedItems/>
    </cacheField>
    <cacheField name="Tipo" numFmtId="0">
      <sharedItems count="16">
        <s v="Plasterbond"/>
        <s v="Cerámica"/>
        <s v="Azulejos"/>
        <s v="Lavamano"/>
        <s v="Bond"/>
        <s v="Separadores"/>
        <s v="Porcelana"/>
        <s v="Inodoro"/>
        <s v="Porcelanato"/>
        <s v="Repello"/>
        <s v="Iluminación"/>
        <s v="Baño"/>
        <s v="Listelo"/>
        <s v="Fachaleta"/>
        <s v="Otro"/>
        <s v="Pantry"/>
      </sharedItems>
    </cacheField>
    <cacheField name="Codigo de Producto" numFmtId="0">
      <sharedItems/>
    </cacheField>
    <cacheField name="Descripcion" numFmtId="0">
      <sharedItems/>
    </cacheField>
    <cacheField name="Cantidad" numFmtId="0">
      <sharedItems containsSemiMixedTypes="0" containsString="0" containsNumber="1" minValue="0.1111111111111111" maxValue="59.57"/>
    </cacheField>
    <cacheField name="Precio" numFmtId="0">
      <sharedItems containsSemiMixedTypes="0" containsString="0" containsNumber="1" containsInteger="1" minValue="25" maxValue="2200"/>
    </cacheField>
    <cacheField name="Total" numFmtId="0">
      <sharedItems containsSemiMixedTypes="0" containsString="0" containsNumber="1" minValue="31.111111111111111" maxValue="21660"/>
    </cacheField>
    <cacheField name="Distribuidor" numFmtId="0">
      <sharedItems/>
    </cacheField>
    <cacheField name="Precio de Compra" numFmtId="0">
      <sharedItems containsSemiMixedTypes="0" containsString="0" containsNumber="1" minValue="0" maxValue="1718"/>
    </cacheField>
    <cacheField name="Factura" numFmtId="0">
      <sharedItems containsNonDate="0" containsString="0" containsBlank="1"/>
    </cacheField>
    <cacheField name="Total de Compra" numFmtId="0">
      <sharedItems containsMixedTypes="1" containsNumber="1" minValue="20" maxValue="19380"/>
    </cacheField>
    <cacheField name="Utilidad" numFmtId="0">
      <sharedItems containsMixedTypes="1" containsNumber="1" minValue="3.5" maxValue="2280"/>
    </cacheField>
    <cacheField name="Meses" numFmtId="0" databaseField="0">
      <fieldGroup base="1">
        <rangePr groupBy="months" startDate="2020-11-10T00:00:00" endDate="2020-12-13T00:00:00"/>
        <groupItems count="14">
          <s v="&lt;10/1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3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n v="87"/>
    <x v="0"/>
    <s v="noviembre"/>
    <x v="0"/>
    <s v="APPK001"/>
    <s v="Plasterbond Klebe"/>
    <n v="1"/>
    <n v="100"/>
    <n v="100"/>
    <s v="Aginsa"/>
    <n v="80"/>
    <m/>
    <n v="80"/>
    <n v="20"/>
  </r>
  <r>
    <n v="88"/>
    <x v="0"/>
    <s v="noviembre"/>
    <x v="1"/>
    <s v="MCZM001"/>
    <s v="Zacatepec Marrón"/>
    <n v="2.5"/>
    <n v="250"/>
    <n v="625"/>
    <s v="Dispiasa"/>
    <n v="219"/>
    <m/>
    <n v="547.5"/>
    <n v="77.5"/>
  </r>
  <r>
    <n v="89"/>
    <x v="0"/>
    <s v="noviembre"/>
    <x v="1"/>
    <s v="MCMV001"/>
    <s v="Mosaico Verde"/>
    <n v="3.54"/>
    <n v="300"/>
    <n v="1062"/>
    <s v="Dispiasa"/>
    <n v="268"/>
    <m/>
    <n v="948.72"/>
    <n v="113.27999999999997"/>
  </r>
  <r>
    <n v="90"/>
    <x v="0"/>
    <s v="noviembre"/>
    <x v="2"/>
    <s v="MABAL001"/>
    <s v="Baleares Azul Liso"/>
    <n v="5"/>
    <n v="300"/>
    <n v="1500"/>
    <s v="Dispiasa"/>
    <n v="268"/>
    <m/>
    <n v="1340"/>
    <n v="160"/>
  </r>
  <r>
    <n v="91"/>
    <x v="0"/>
    <s v="noviembre"/>
    <x v="1"/>
    <s v="CCC001"/>
    <s v="Casilina"/>
    <n v="2.15"/>
    <n v="250"/>
    <n v="537.5"/>
    <s v="Comasa"/>
    <n v="220"/>
    <m/>
    <n v="473"/>
    <n v="64.5"/>
  </r>
  <r>
    <n v="92"/>
    <x v="0"/>
    <s v="noviembre"/>
    <x v="1"/>
    <s v="MCMA001"/>
    <s v="Mosaico Azul"/>
    <n v="0.44444444444444442"/>
    <n v="300"/>
    <n v="133.33333333333331"/>
    <s v="Dispiasa"/>
    <n v="268"/>
    <m/>
    <n v="119.1111111111111"/>
    <n v="14.222222222222214"/>
  </r>
  <r>
    <n v="93"/>
    <x v="0"/>
    <s v="noviembre"/>
    <x v="1"/>
    <s v="CCC001"/>
    <s v="Casilina"/>
    <n v="1.075"/>
    <n v="250"/>
    <n v="268.75"/>
    <s v="Comasa"/>
    <n v="220"/>
    <m/>
    <n v="236.5"/>
    <n v="32.25"/>
  </r>
  <r>
    <n v="94"/>
    <x v="0"/>
    <s v="noviembre"/>
    <x v="1"/>
    <s v="MCAB001"/>
    <s v="Alaska Blanco"/>
    <n v="2"/>
    <n v="300"/>
    <n v="600"/>
    <s v="Dispiasa"/>
    <n v="253"/>
    <m/>
    <n v="506"/>
    <n v="94"/>
  </r>
  <r>
    <n v="95"/>
    <x v="0"/>
    <s v="noviembre"/>
    <x v="3"/>
    <s v="MLA001"/>
    <s v="Lavamano Aqua Blanco"/>
    <n v="1"/>
    <n v="900"/>
    <n v="900"/>
    <s v="Dispiasa"/>
    <n v="480"/>
    <m/>
    <n v="480"/>
    <n v="420"/>
  </r>
  <r>
    <n v="96"/>
    <x v="0"/>
    <s v="noviembre"/>
    <x v="3"/>
    <s v="MLPAB001"/>
    <s v="Pedestal Aqua Blanco"/>
    <n v="1"/>
    <n v="900"/>
    <n v="900"/>
    <s v="Dispiasa"/>
    <n v="395"/>
    <m/>
    <n v="395"/>
    <n v="505"/>
  </r>
  <r>
    <n v="97"/>
    <x v="1"/>
    <s v="noviembre"/>
    <x v="4"/>
    <s v="CBDBP001"/>
    <s v="Drytec Bond Plus"/>
    <n v="4"/>
    <n v="155"/>
    <n v="620"/>
    <s v="Comasa"/>
    <n v="127"/>
    <m/>
    <n v="508"/>
    <n v="112"/>
  </r>
  <r>
    <n v="98"/>
    <x v="1"/>
    <s v="noviembre"/>
    <x v="5"/>
    <s v="SS004"/>
    <s v="Separadores de 4 mm"/>
    <n v="1"/>
    <n v="35"/>
    <n v="35"/>
    <s v="Silco"/>
    <n v="22"/>
    <m/>
    <n v="22"/>
    <n v="13"/>
  </r>
  <r>
    <n v="99"/>
    <x v="1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100"/>
    <x v="1"/>
    <s v="noviembre"/>
    <x v="1"/>
    <s v="MC822R001"/>
    <s v="822 Roble"/>
    <n v="59.57"/>
    <n v="235"/>
    <n v="13998.95"/>
    <s v="Dispiasa"/>
    <n v="207"/>
    <m/>
    <n v="12330.99"/>
    <n v="1667.9600000000009"/>
  </r>
  <r>
    <n v="101"/>
    <x v="1"/>
    <s v="noviembre"/>
    <x v="1"/>
    <s v="MCAB001"/>
    <s v="Alaska Blanco"/>
    <n v="2"/>
    <n v="300"/>
    <n v="600"/>
    <s v="Dispiasa"/>
    <n v="253"/>
    <m/>
    <n v="506"/>
    <n v="94"/>
  </r>
  <r>
    <n v="102"/>
    <x v="1"/>
    <s v="noviembre"/>
    <x v="4"/>
    <s v="CBBPD"/>
    <s v="Bond Porcelanato Drytec"/>
    <n v="15"/>
    <n v="250"/>
    <n v="3750"/>
    <s v="Comasa"/>
    <n v="190"/>
    <m/>
    <n v="2850"/>
    <n v="900"/>
  </r>
  <r>
    <n v="103"/>
    <x v="1"/>
    <s v="noviembre"/>
    <x v="3"/>
    <s v="CIKC001"/>
    <s v="Kit de Inodoro Cato"/>
    <n v="1"/>
    <n v="500"/>
    <n v="500"/>
    <s v="Comasa"/>
    <n v="228"/>
    <m/>
    <n v="228"/>
    <n v="272"/>
  </r>
  <r>
    <n v="104"/>
    <x v="1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105"/>
    <x v="1"/>
    <s v="noviembre"/>
    <x v="1"/>
    <s v="MCZM001"/>
    <s v="Zacatepec Marrón"/>
    <n v="2"/>
    <n v="250"/>
    <n v="500"/>
    <s v="Dispiasa"/>
    <n v="219"/>
    <m/>
    <n v="438"/>
    <n v="62"/>
  </r>
  <r>
    <n v="106"/>
    <x v="1"/>
    <s v="noviembre"/>
    <x v="5"/>
    <s v="SS002"/>
    <s v="Separadores de 2 mm"/>
    <n v="1"/>
    <n v="35"/>
    <n v="35"/>
    <s v="Silco"/>
    <n v="20"/>
    <m/>
    <n v="20"/>
    <n v="15"/>
  </r>
  <r>
    <n v="107"/>
    <x v="1"/>
    <s v="noviembre"/>
    <x v="7"/>
    <s v="MIA001"/>
    <s v="Inodoro Aqua Blanco"/>
    <n v="1"/>
    <n v="1650"/>
    <n v="1650"/>
    <s v="Dispiasa"/>
    <n v="1440"/>
    <m/>
    <n v="1440"/>
    <n v="210"/>
  </r>
  <r>
    <n v="108"/>
    <x v="1"/>
    <s v="noviembre"/>
    <x v="3"/>
    <s v="CLC001"/>
    <s v="Lavamano Cato Blanco"/>
    <n v="1"/>
    <n v="1450"/>
    <n v="1450"/>
    <s v="Comasa"/>
    <n v="500"/>
    <m/>
    <n v="500"/>
    <n v="950"/>
  </r>
  <r>
    <n v="109"/>
    <x v="1"/>
    <s v="noviembre"/>
    <x v="1"/>
    <s v="CCLDPD20600"/>
    <s v="LD PD 20600"/>
    <n v="2.3199999999999998"/>
    <n v="250"/>
    <n v="580"/>
    <s v="Comasa"/>
    <n v="220"/>
    <m/>
    <n v="510.4"/>
    <n v="69.600000000000023"/>
  </r>
  <r>
    <n v="110"/>
    <x v="1"/>
    <s v="noviembre"/>
    <x v="1"/>
    <s v="MCZM001"/>
    <s v="Zacatepec Marrón"/>
    <n v="1"/>
    <n v="250"/>
    <n v="250"/>
    <s v="Dispiasa"/>
    <n v="219"/>
    <m/>
    <n v="219"/>
    <n v="31"/>
  </r>
  <r>
    <n v="111"/>
    <x v="2"/>
    <s v="noviembre"/>
    <x v="2"/>
    <s v="MAOV001"/>
    <s v="Oporto Verde"/>
    <n v="2"/>
    <n v="300"/>
    <n v="600"/>
    <s v="Dispiasa"/>
    <n v="268"/>
    <m/>
    <n v="536"/>
    <n v="64"/>
  </r>
  <r>
    <n v="112"/>
    <x v="2"/>
    <s v="noviembre"/>
    <x v="2"/>
    <s v="MALVL001"/>
    <s v="Lisboa Verde Liso"/>
    <n v="3"/>
    <n v="300"/>
    <n v="900"/>
    <s v="Dispiasa"/>
    <n v="268"/>
    <m/>
    <n v="804"/>
    <n v="96"/>
  </r>
  <r>
    <n v="113"/>
    <x v="2"/>
    <s v="noviembre"/>
    <x v="1"/>
    <s v="MCMV001"/>
    <s v="Mosaico Verde"/>
    <n v="0.22222222222222221"/>
    <n v="300"/>
    <n v="66.666666666666657"/>
    <s v="Dispiasa"/>
    <n v="268"/>
    <m/>
    <n v="59.55555555555555"/>
    <n v="7.1111111111111072"/>
  </r>
  <r>
    <n v="114"/>
    <x v="2"/>
    <s v="noviembre"/>
    <x v="8"/>
    <s v="HPBM001"/>
    <s v="Beige Marfil"/>
    <n v="10.08"/>
    <n v="380"/>
    <n v="3830.4"/>
    <s v="Halcón"/>
    <n v="340"/>
    <m/>
    <n v="3427.2"/>
    <n v="403.20000000000027"/>
  </r>
  <r>
    <n v="115"/>
    <x v="2"/>
    <s v="noviembre"/>
    <x v="3"/>
    <s v="MLA001"/>
    <s v="Lavamano Aqua Blanco"/>
    <n v="1"/>
    <n v="900"/>
    <n v="900"/>
    <s v="Dispiasa"/>
    <n v="480"/>
    <m/>
    <n v="480"/>
    <n v="420"/>
  </r>
  <r>
    <n v="116"/>
    <x v="2"/>
    <s v="noviembre"/>
    <x v="3"/>
    <s v="LTC001"/>
    <s v="Llave + Centro + Trampa"/>
    <n v="1"/>
    <n v="250"/>
    <n v="250"/>
    <s v="Silco"/>
    <n v="170"/>
    <m/>
    <n v="170"/>
    <n v="80"/>
  </r>
  <r>
    <n v="117"/>
    <x v="2"/>
    <s v="noviembre"/>
    <x v="0"/>
    <s v="APPK001"/>
    <s v="Plasterbond Klebe"/>
    <n v="3.2"/>
    <n v="100"/>
    <n v="320"/>
    <s v="Aginsa"/>
    <n v="80"/>
    <m/>
    <n v="256"/>
    <n v="64"/>
  </r>
  <r>
    <n v="118"/>
    <x v="2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119"/>
    <x v="2"/>
    <s v="noviembre"/>
    <x v="5"/>
    <s v="SS002"/>
    <s v="Separadores de 2 mm"/>
    <n v="1"/>
    <n v="35"/>
    <n v="35"/>
    <s v="Silco"/>
    <n v="20"/>
    <m/>
    <n v="20"/>
    <n v="15"/>
  </r>
  <r>
    <n v="120"/>
    <x v="2"/>
    <s v="noviembre"/>
    <x v="2"/>
    <s v="MAMB001"/>
    <s v="Marsella Blanco"/>
    <n v="12"/>
    <n v="300"/>
    <n v="3600"/>
    <s v="Dispiasa"/>
    <n v="268"/>
    <m/>
    <n v="3216"/>
    <n v="384"/>
  </r>
  <r>
    <n v="121"/>
    <x v="2"/>
    <s v="noviembre"/>
    <x v="4"/>
    <s v="CBDBP001"/>
    <s v="Drytec Bond Plus"/>
    <n v="4"/>
    <n v="155"/>
    <n v="620"/>
    <s v="Comasa"/>
    <n v="127"/>
    <m/>
    <n v="508"/>
    <n v="112"/>
  </r>
  <r>
    <n v="122"/>
    <x v="2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123"/>
    <x v="2"/>
    <s v="noviembre"/>
    <x v="1"/>
    <s v="MCNO001"/>
    <s v="Nogal Oscuro"/>
    <n v="0.44444444444444442"/>
    <n v="300"/>
    <n v="133.33333333333331"/>
    <s v="Dispiasa"/>
    <n v="268"/>
    <m/>
    <n v="119.1111111111111"/>
    <n v="14.222222222222214"/>
  </r>
  <r>
    <n v="124"/>
    <x v="2"/>
    <s v="noviembre"/>
    <x v="2"/>
    <s v="MABAL001"/>
    <s v="Baleares Azul Liso"/>
    <n v="1.5"/>
    <n v="300"/>
    <n v="450"/>
    <s v="Dispiasa"/>
    <n v="268"/>
    <m/>
    <n v="402"/>
    <n v="48"/>
  </r>
  <r>
    <n v="125"/>
    <x v="2"/>
    <s v="noviembre"/>
    <x v="1"/>
    <s v="MCZM001"/>
    <s v="Zacatepec Marrón"/>
    <n v="1"/>
    <n v="250"/>
    <n v="250"/>
    <s v="Dispiasa"/>
    <n v="219"/>
    <m/>
    <n v="219"/>
    <n v="31"/>
  </r>
  <r>
    <n v="126"/>
    <x v="3"/>
    <s v="noviembre"/>
    <x v="1"/>
    <s v="MC822R001"/>
    <s v="822 Roble"/>
    <n v="6"/>
    <n v="240"/>
    <n v="1440"/>
    <s v="Dispiasa"/>
    <n v="207"/>
    <m/>
    <n v="1242"/>
    <n v="198"/>
  </r>
  <r>
    <n v="127"/>
    <x v="3"/>
    <s v="noviembre"/>
    <x v="8"/>
    <s v="HPBM001"/>
    <s v="Beige Marfil"/>
    <n v="33"/>
    <n v="375"/>
    <n v="12375"/>
    <s v="Halcón"/>
    <n v="340"/>
    <m/>
    <n v="11220"/>
    <n v="1155"/>
  </r>
  <r>
    <n v="128"/>
    <x v="3"/>
    <s v="noviembre"/>
    <x v="6"/>
    <s v="MPPM"/>
    <s v="Porcelana Maya "/>
    <n v="6"/>
    <n v="60"/>
    <n v="360"/>
    <s v="Martinez"/>
    <n v="33.333333333333336"/>
    <m/>
    <n v="200"/>
    <n v="160"/>
  </r>
  <r>
    <n v="129"/>
    <x v="3"/>
    <s v="noviembre"/>
    <x v="5"/>
    <s v="SS002"/>
    <s v="Separadores de 2 mm"/>
    <n v="5"/>
    <n v="35"/>
    <n v="175"/>
    <s v="Silco"/>
    <n v="20"/>
    <m/>
    <n v="100"/>
    <n v="75"/>
  </r>
  <r>
    <n v="130"/>
    <x v="3"/>
    <s v="noviembre"/>
    <x v="4"/>
    <s v="CBBPD"/>
    <s v="Bond Porcelanato Drytec"/>
    <n v="10"/>
    <n v="260"/>
    <n v="2600"/>
    <s v="Comasa"/>
    <n v="190"/>
    <m/>
    <n v="1900"/>
    <n v="700"/>
  </r>
  <r>
    <n v="131"/>
    <x v="3"/>
    <s v="noviembre"/>
    <x v="1"/>
    <s v="MC822R001"/>
    <s v="822 Roble"/>
    <n v="15.43"/>
    <n v="235"/>
    <n v="3626.0499999999997"/>
    <s v="Dispiasa"/>
    <n v="207"/>
    <m/>
    <n v="3194.0099999999998"/>
    <n v="432.03999999999996"/>
  </r>
  <r>
    <n v="132"/>
    <x v="3"/>
    <s v="noviembre"/>
    <x v="2"/>
    <s v="MAMV001"/>
    <s v="Marsella Visón"/>
    <n v="8"/>
    <n v="295"/>
    <n v="2360"/>
    <s v="Dispiasa"/>
    <n v="268"/>
    <m/>
    <n v="2144"/>
    <n v="216"/>
  </r>
  <r>
    <n v="133"/>
    <x v="3"/>
    <s v="noviembre"/>
    <x v="2"/>
    <s v="MACV001"/>
    <s v="Calpe Visón"/>
    <n v="2"/>
    <n v="295"/>
    <n v="590"/>
    <s v="Dispiasa"/>
    <n v="268"/>
    <m/>
    <n v="536"/>
    <n v="54"/>
  </r>
  <r>
    <n v="134"/>
    <x v="3"/>
    <s v="noviembre"/>
    <x v="1"/>
    <s v="CCMC001"/>
    <s v="Madera Cedro"/>
    <n v="27.72"/>
    <n v="265"/>
    <n v="7345.7999999999993"/>
    <s v="Comasa"/>
    <n v="236"/>
    <m/>
    <n v="6541.92"/>
    <n v="803.8799999999992"/>
  </r>
  <r>
    <n v="135"/>
    <x v="3"/>
    <s v="noviembre"/>
    <x v="1"/>
    <s v="CCMDO001"/>
    <s v="Madera Dinizia Oscuro"/>
    <n v="7.65"/>
    <n v="240"/>
    <n v="1836"/>
    <s v="Comasa"/>
    <n v="212"/>
    <m/>
    <n v="1621.8000000000002"/>
    <n v="214.19999999999982"/>
  </r>
  <r>
    <n v="136"/>
    <x v="3"/>
    <s v="noviembre"/>
    <x v="4"/>
    <s v="CBDBP001"/>
    <s v="Drytec Bond Plus"/>
    <n v="12"/>
    <n v="155"/>
    <n v="1860"/>
    <s v="Comasa"/>
    <n v="127"/>
    <m/>
    <n v="1524"/>
    <n v="336"/>
  </r>
  <r>
    <n v="137"/>
    <x v="3"/>
    <s v="noviembre"/>
    <x v="5"/>
    <s v="SS004"/>
    <s v="Separadores de 4 mm"/>
    <n v="1"/>
    <n v="35"/>
    <n v="35"/>
    <s v="Silco"/>
    <n v="22"/>
    <m/>
    <n v="22"/>
    <n v="13"/>
  </r>
  <r>
    <n v="138"/>
    <x v="3"/>
    <s v="noviembre"/>
    <x v="0"/>
    <s v="APPK001"/>
    <s v="Plasterbond Klebe"/>
    <n v="6.4"/>
    <n v="100"/>
    <n v="640"/>
    <s v="Aginsa"/>
    <n v="80"/>
    <m/>
    <n v="512"/>
    <n v="128"/>
  </r>
  <r>
    <n v="139"/>
    <x v="3"/>
    <s v="noviembre"/>
    <x v="6"/>
    <s v="CPN3K"/>
    <s v="Naranja 3k"/>
    <n v="2"/>
    <n v="100"/>
    <n v="200"/>
    <s v="Comasa"/>
    <n v="80"/>
    <m/>
    <n v="160"/>
    <n v="40"/>
  </r>
  <r>
    <n v="140"/>
    <x v="3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141"/>
    <x v="3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142"/>
    <x v="3"/>
    <s v="noviembre"/>
    <x v="1"/>
    <s v="MCMA001"/>
    <s v="Mosaico Azul"/>
    <n v="1.5"/>
    <n v="300"/>
    <n v="450"/>
    <s v="Dispiasa"/>
    <n v="268"/>
    <m/>
    <n v="402"/>
    <n v="48"/>
  </r>
  <r>
    <n v="143"/>
    <x v="4"/>
    <s v="noviembre"/>
    <x v="9"/>
    <s v="CRFD"/>
    <s v="Repello Fino Drytec"/>
    <n v="2"/>
    <n v="250"/>
    <n v="500"/>
    <s v="Comasa"/>
    <n v="236"/>
    <m/>
    <n v="472"/>
    <n v="28"/>
  </r>
  <r>
    <n v="144"/>
    <x v="4"/>
    <s v="noviembre"/>
    <x v="4"/>
    <s v="CBDBP001"/>
    <s v="Drytec Bond Plus"/>
    <n v="5"/>
    <n v="170"/>
    <n v="850"/>
    <s v="Comasa"/>
    <n v="127"/>
    <m/>
    <n v="635"/>
    <n v="215"/>
  </r>
  <r>
    <n v="145"/>
    <x v="4"/>
    <s v="noviembre"/>
    <x v="10"/>
    <s v="LL12W"/>
    <s v="Lámpara Led 12w"/>
    <n v="4"/>
    <n v="170"/>
    <n v="680"/>
    <s v="Invercopa"/>
    <n v="110"/>
    <m/>
    <n v="440"/>
    <n v="240"/>
  </r>
  <r>
    <n v="146"/>
    <x v="4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147"/>
    <x v="4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148"/>
    <x v="4"/>
    <s v="noviembre"/>
    <x v="1"/>
    <s v="MCSM001"/>
    <s v="Sorrento Marrón Liso"/>
    <n v="20"/>
    <n v="295"/>
    <n v="5900"/>
    <s v="Dispiasa"/>
    <n v="268"/>
    <m/>
    <n v="5360"/>
    <n v="540"/>
  </r>
  <r>
    <n v="149"/>
    <x v="4"/>
    <s v="noviembre"/>
    <x v="1"/>
    <s v="CCMA001"/>
    <s v="Madera Abedul"/>
    <n v="6"/>
    <n v="290"/>
    <n v="1740"/>
    <s v="Comasa"/>
    <n v="182"/>
    <m/>
    <n v="1092"/>
    <n v="648"/>
  </r>
  <r>
    <n v="150"/>
    <x v="4"/>
    <s v="noviembre"/>
    <x v="1"/>
    <s v="CCMDO001"/>
    <s v="Madera Dinizia Oscuro"/>
    <n v="35"/>
    <n v="240"/>
    <n v="8400"/>
    <s v="Comasa"/>
    <n v="212"/>
    <m/>
    <n v="7420"/>
    <n v="980"/>
  </r>
  <r>
    <n v="151"/>
    <x v="4"/>
    <s v="noviembre"/>
    <x v="1"/>
    <s v="MCFB001"/>
    <s v="Florencia Beige"/>
    <n v="3.5"/>
    <n v="300"/>
    <n v="1050"/>
    <s v="Dispiasa"/>
    <n v="268"/>
    <m/>
    <n v="938"/>
    <n v="112"/>
  </r>
  <r>
    <n v="152"/>
    <x v="4"/>
    <s v="noviembre"/>
    <x v="1"/>
    <s v="CCSB001"/>
    <s v="Sunset Beige"/>
    <n v="1.5"/>
    <n v="280"/>
    <n v="420"/>
    <s v="Comasa"/>
    <n v="248"/>
    <m/>
    <n v="372"/>
    <n v="48"/>
  </r>
  <r>
    <n v="153"/>
    <x v="4"/>
    <s v="noviembre"/>
    <x v="4"/>
    <s v="CBDBP001"/>
    <s v="Drytec Bond Plus"/>
    <n v="10"/>
    <n v="155"/>
    <n v="1550"/>
    <s v="Comasa"/>
    <n v="127"/>
    <m/>
    <n v="1270"/>
    <n v="280"/>
  </r>
  <r>
    <n v="154"/>
    <x v="4"/>
    <s v="noviembre"/>
    <x v="6"/>
    <s v="MPPM"/>
    <s v="Porcelana Maya "/>
    <n v="4"/>
    <n v="60"/>
    <n v="240"/>
    <s v="Martinez"/>
    <n v="33.333333333333336"/>
    <m/>
    <n v="133.33333333333334"/>
    <n v="106.66666666666666"/>
  </r>
  <r>
    <n v="155"/>
    <x v="4"/>
    <s v="noviembre"/>
    <x v="5"/>
    <s v="SS002"/>
    <s v="Separadores de 2 mm"/>
    <n v="2"/>
    <n v="35"/>
    <n v="70"/>
    <s v="Silco"/>
    <n v="20"/>
    <m/>
    <n v="40"/>
    <n v="30"/>
  </r>
  <r>
    <n v="156"/>
    <x v="4"/>
    <s v="noviembre"/>
    <x v="2"/>
    <s v="MABCL001"/>
    <s v="Breccia Café Liso"/>
    <n v="2.16"/>
    <n v="310"/>
    <n v="669.6"/>
    <s v="Dispiasa"/>
    <n v="283"/>
    <m/>
    <n v="611.28000000000009"/>
    <n v="58.319999999999936"/>
  </r>
  <r>
    <n v="157"/>
    <x v="4"/>
    <s v="noviembre"/>
    <x v="11"/>
    <s v="IBDHG"/>
    <s v="Ducha Hexagonal Griven"/>
    <n v="1"/>
    <n v="230"/>
    <n v="230"/>
    <s v="Invercopa"/>
    <n v="150"/>
    <m/>
    <n v="150"/>
    <n v="80"/>
  </r>
  <r>
    <n v="158"/>
    <x v="4"/>
    <s v="noviembre"/>
    <x v="11"/>
    <s v="IBTC001"/>
    <s v="Tubo de Cortina"/>
    <n v="1"/>
    <n v="180"/>
    <n v="180"/>
    <s v="Invercopa"/>
    <n v="138"/>
    <m/>
    <n v="138"/>
    <n v="42"/>
  </r>
  <r>
    <n v="159"/>
    <x v="4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160"/>
    <x v="4"/>
    <s v="noviembre"/>
    <x v="12"/>
    <s v="CLB001"/>
    <s v="Betina Cocina"/>
    <n v="26"/>
    <n v="45"/>
    <n v="1170"/>
    <s v="Comasa"/>
    <n v="32"/>
    <m/>
    <n v="832"/>
    <n v="338"/>
  </r>
  <r>
    <n v="161"/>
    <x v="4"/>
    <s v="noviembre"/>
    <x v="4"/>
    <s v="CBDBP001"/>
    <s v="Drytec Bond Plus"/>
    <n v="3"/>
    <n v="155"/>
    <n v="465"/>
    <s v="Comasa"/>
    <n v="127"/>
    <m/>
    <n v="381"/>
    <n v="84"/>
  </r>
  <r>
    <n v="162"/>
    <x v="4"/>
    <s v="noviembre"/>
    <x v="6"/>
    <s v="MPPM"/>
    <s v="Porcelana Maya "/>
    <n v="3"/>
    <n v="60"/>
    <n v="180"/>
    <s v="Martinez"/>
    <n v="33.333333333333336"/>
    <m/>
    <n v="100"/>
    <n v="80"/>
  </r>
  <r>
    <n v="163"/>
    <x v="5"/>
    <s v="noviembre"/>
    <x v="1"/>
    <s v="MCZM001"/>
    <s v="Zacatepec Marrón"/>
    <n v="4"/>
    <n v="250"/>
    <n v="1000"/>
    <s v="Dispiasa"/>
    <n v="219"/>
    <m/>
    <n v="876"/>
    <n v="124"/>
  </r>
  <r>
    <n v="164"/>
    <x v="5"/>
    <s v="noviembre"/>
    <x v="1"/>
    <s v="MCZM001"/>
    <s v="Zacatepec Marrón"/>
    <n v="4"/>
    <n v="250"/>
    <n v="1000"/>
    <s v="Dispiasa"/>
    <n v="219"/>
    <m/>
    <n v="876"/>
    <n v="124"/>
  </r>
  <r>
    <n v="165"/>
    <x v="5"/>
    <s v="noviembre"/>
    <x v="1"/>
    <s v="CCMK001"/>
    <s v="Madera Klabe"/>
    <n v="1.155"/>
    <n v="360"/>
    <n v="415.8"/>
    <s v="Comasa"/>
    <n v="272"/>
    <m/>
    <n v="314.16000000000003"/>
    <n v="101.63999999999999"/>
  </r>
  <r>
    <n v="166"/>
    <x v="5"/>
    <s v="noviembre"/>
    <x v="4"/>
    <s v="CBDBP001"/>
    <s v="Drytec Bond Plus"/>
    <n v="6"/>
    <n v="155"/>
    <n v="930"/>
    <s v="Comasa"/>
    <n v="127"/>
    <m/>
    <n v="762"/>
    <n v="168"/>
  </r>
  <r>
    <n v="167"/>
    <x v="5"/>
    <s v="noviembre"/>
    <x v="2"/>
    <s v="MA722M001"/>
    <s v="722 Marrón"/>
    <n v="1"/>
    <n v="270"/>
    <n v="270"/>
    <s v="Dispiasa"/>
    <n v="207"/>
    <m/>
    <n v="207"/>
    <n v="63"/>
  </r>
  <r>
    <n v="168"/>
    <x v="5"/>
    <s v="noviembre"/>
    <x v="1"/>
    <s v="MCMV001"/>
    <s v="Mosaico Verde"/>
    <n v="4"/>
    <n v="300"/>
    <n v="1200"/>
    <s v="Dispiasa"/>
    <n v="268"/>
    <m/>
    <n v="1072"/>
    <n v="128"/>
  </r>
  <r>
    <n v="169"/>
    <x v="5"/>
    <s v="noviembre"/>
    <x v="4"/>
    <s v="CBDBP001"/>
    <s v="Drytec Bond Plus"/>
    <n v="1"/>
    <n v="155"/>
    <n v="155"/>
    <s v="Comasa"/>
    <n v="127"/>
    <m/>
    <n v="127"/>
    <n v="28"/>
  </r>
  <r>
    <n v="170"/>
    <x v="5"/>
    <s v="noviembre"/>
    <x v="5"/>
    <s v="SS002"/>
    <s v="Separadores de 2 mm"/>
    <n v="1"/>
    <n v="35"/>
    <n v="35"/>
    <s v="Silco"/>
    <n v="20"/>
    <m/>
    <n v="20"/>
    <n v="15"/>
  </r>
  <r>
    <n v="171"/>
    <x v="5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172"/>
    <x v="5"/>
    <s v="noviembre"/>
    <x v="2"/>
    <s v="MAMB001"/>
    <s v="Marsella Blanco"/>
    <n v="1"/>
    <n v="300"/>
    <n v="300"/>
    <s v="Dispiasa"/>
    <n v="268"/>
    <m/>
    <n v="268"/>
    <n v="32"/>
  </r>
  <r>
    <n v="173"/>
    <x v="5"/>
    <s v="noviembre"/>
    <x v="2"/>
    <s v="MAMB001"/>
    <s v="Marsella Blanco"/>
    <n v="2.5"/>
    <n v="300"/>
    <n v="750"/>
    <s v="Dispiasa"/>
    <n v="268"/>
    <m/>
    <n v="670"/>
    <n v="80"/>
  </r>
  <r>
    <n v="174"/>
    <x v="6"/>
    <s v="noviembre"/>
    <x v="8"/>
    <s v="HPBM001"/>
    <s v="Beige Marfil"/>
    <n v="10"/>
    <n v="380"/>
    <n v="3800"/>
    <s v="Halcón"/>
    <n v="340"/>
    <m/>
    <n v="3400"/>
    <n v="400"/>
  </r>
  <r>
    <n v="175"/>
    <x v="6"/>
    <s v="noviembre"/>
    <x v="1"/>
    <s v="MC802R001"/>
    <s v="802 Roble"/>
    <n v="12"/>
    <n v="240"/>
    <n v="2880"/>
    <s v="Dispiasa"/>
    <n v="207"/>
    <m/>
    <n v="2484"/>
    <n v="396"/>
  </r>
  <r>
    <n v="176"/>
    <x v="6"/>
    <s v="noviembre"/>
    <x v="1"/>
    <s v="MC802R001"/>
    <s v="802 Roble"/>
    <n v="1"/>
    <n v="240"/>
    <n v="240"/>
    <s v="Dispiasa"/>
    <n v="207"/>
    <m/>
    <n v="207"/>
    <n v="33"/>
  </r>
  <r>
    <n v="177"/>
    <x v="6"/>
    <s v="noviembre"/>
    <x v="8"/>
    <s v="MPGS001"/>
    <s v="Gris Sólido"/>
    <n v="1.44"/>
    <n v="425"/>
    <n v="612"/>
    <s v="Dispiasa"/>
    <n v="350"/>
    <m/>
    <n v="504"/>
    <n v="108"/>
  </r>
  <r>
    <n v="178"/>
    <x v="6"/>
    <s v="noviembre"/>
    <x v="1"/>
    <s v="MCZM001"/>
    <s v="Zacatepec Marrón"/>
    <n v="7"/>
    <n v="250"/>
    <n v="1750"/>
    <s v="Dispiasa"/>
    <n v="219"/>
    <m/>
    <n v="1533"/>
    <n v="217"/>
  </r>
  <r>
    <n v="179"/>
    <x v="6"/>
    <s v="noviembre"/>
    <x v="1"/>
    <s v="CCMDO001"/>
    <s v="Madera Dinizia Oscuro"/>
    <n v="1.5"/>
    <n v="240"/>
    <n v="360"/>
    <s v="Comasa"/>
    <n v="212"/>
    <m/>
    <n v="318"/>
    <n v="42"/>
  </r>
  <r>
    <n v="180"/>
    <x v="6"/>
    <s v="noviembre"/>
    <x v="13"/>
    <s v="MFCM001"/>
    <s v="Creta Marrón"/>
    <n v="6"/>
    <n v="430"/>
    <n v="2580"/>
    <s v="Dispiasa"/>
    <n v="335"/>
    <m/>
    <n v="2010"/>
    <n v="570"/>
  </r>
  <r>
    <n v="181"/>
    <x v="6"/>
    <s v="noviembre"/>
    <x v="2"/>
    <s v="MABCL001"/>
    <s v="Breccia Café Liso"/>
    <n v="5.48"/>
    <n v="310"/>
    <n v="1698.8000000000002"/>
    <s v="Dispiasa"/>
    <n v="283"/>
    <m/>
    <n v="1550.8400000000001"/>
    <n v="147.96000000000004"/>
  </r>
  <r>
    <n v="182"/>
    <x v="6"/>
    <s v="noviembre"/>
    <x v="4"/>
    <s v="CBDBP001"/>
    <s v="Drytec Bond Plus"/>
    <n v="3"/>
    <n v="155"/>
    <n v="465"/>
    <s v="Comasa"/>
    <n v="127"/>
    <m/>
    <n v="381"/>
    <n v="84"/>
  </r>
  <r>
    <n v="183"/>
    <x v="6"/>
    <s v="noviembre"/>
    <x v="1"/>
    <s v="CCMK001"/>
    <s v="Madera Klabe"/>
    <n v="0.38500000000000001"/>
    <n v="380"/>
    <n v="146.30000000000001"/>
    <s v="Comasa"/>
    <n v="272"/>
    <m/>
    <n v="104.72"/>
    <n v="41.580000000000013"/>
  </r>
  <r>
    <n v="184"/>
    <x v="6"/>
    <s v="noviembre"/>
    <x v="11"/>
    <s v="IBJ001"/>
    <s v="Jabonera"/>
    <n v="1"/>
    <n v="155"/>
    <n v="155"/>
    <s v="Invercopa"/>
    <n v="100"/>
    <m/>
    <n v="100"/>
    <n v="55"/>
  </r>
  <r>
    <n v="185"/>
    <x v="6"/>
    <s v="noviembre"/>
    <x v="2"/>
    <s v="MAPAL002"/>
    <s v="Primavera Azul Liso"/>
    <n v="4"/>
    <n v="300"/>
    <n v="1200"/>
    <s v="Dispiasa"/>
    <n v="268"/>
    <m/>
    <n v="1072"/>
    <n v="128"/>
  </r>
  <r>
    <n v="186"/>
    <x v="6"/>
    <s v="noviembre"/>
    <x v="5"/>
    <s v="SS002"/>
    <s v="Separadores de 2 mm"/>
    <n v="1"/>
    <n v="35"/>
    <n v="35"/>
    <s v="Silco"/>
    <n v="20"/>
    <m/>
    <n v="20"/>
    <n v="15"/>
  </r>
  <r>
    <n v="187"/>
    <x v="6"/>
    <s v="noviembre"/>
    <x v="2"/>
    <s v="MARBC001"/>
    <s v="Romano Beige Cocina"/>
    <n v="2"/>
    <n v="295"/>
    <n v="590"/>
    <s v="Dispiasa"/>
    <n v="268"/>
    <m/>
    <n v="536"/>
    <n v="54"/>
  </r>
  <r>
    <n v="188"/>
    <x v="6"/>
    <s v="noviembre"/>
    <x v="2"/>
    <s v="MARBL001"/>
    <s v="Romano Beige Liso"/>
    <n v="11"/>
    <n v="295"/>
    <n v="3245"/>
    <s v="Dispiasa"/>
    <n v="268"/>
    <m/>
    <n v="2948"/>
    <n v="297"/>
  </r>
  <r>
    <n v="189"/>
    <x v="6"/>
    <s v="noviembre"/>
    <x v="8"/>
    <s v="HPBM001"/>
    <s v="Beige Marfil"/>
    <n v="10"/>
    <n v="380"/>
    <n v="3800"/>
    <s v="Halcón"/>
    <n v="340"/>
    <m/>
    <n v="3400"/>
    <n v="400"/>
  </r>
  <r>
    <n v="190"/>
    <x v="7"/>
    <s v="noviembre"/>
    <x v="1"/>
    <s v="MCRGG001"/>
    <s v="Rio Gris Granilla"/>
    <n v="3.5"/>
    <n v="250"/>
    <n v="875"/>
    <s v="Dispiasa"/>
    <n v="210"/>
    <m/>
    <n v="735"/>
    <n v="140"/>
  </r>
  <r>
    <n v="191"/>
    <x v="7"/>
    <s v="noviembre"/>
    <x v="2"/>
    <s v="MA722M001"/>
    <s v="722 Marrón"/>
    <n v="5"/>
    <n v="270"/>
    <n v="1350"/>
    <s v="Dispiasa"/>
    <n v="207"/>
    <m/>
    <n v="1035"/>
    <n v="315"/>
  </r>
  <r>
    <n v="192"/>
    <x v="7"/>
    <s v="noviembre"/>
    <x v="4"/>
    <s v="CBDBP001"/>
    <s v="Drytec Bond Plus"/>
    <n v="1"/>
    <n v="155"/>
    <n v="155"/>
    <s v="Comasa"/>
    <n v="127"/>
    <m/>
    <n v="127"/>
    <n v="28"/>
  </r>
  <r>
    <n v="193"/>
    <x v="7"/>
    <s v="noviembre"/>
    <x v="13"/>
    <s v="MFCM001"/>
    <s v="Creta Marrón"/>
    <n v="1.19"/>
    <n v="430"/>
    <n v="511.7"/>
    <s v="Dispiasa"/>
    <n v="335"/>
    <m/>
    <n v="398.65"/>
    <n v="113.05000000000001"/>
  </r>
  <r>
    <n v="194"/>
    <x v="8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195"/>
    <x v="8"/>
    <s v="noviembre"/>
    <x v="1"/>
    <s v="CCMDO001"/>
    <s v="Madera Dinizia Oscuro"/>
    <n v="18"/>
    <n v="240"/>
    <n v="4320"/>
    <s v="Comasa"/>
    <n v="212"/>
    <m/>
    <n v="3816"/>
    <n v="504"/>
  </r>
  <r>
    <n v="196"/>
    <x v="8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197"/>
    <x v="8"/>
    <s v="noviembre"/>
    <x v="13"/>
    <s v="MFCM001"/>
    <s v="Creta Marrón"/>
    <n v="0.13222222222222221"/>
    <n v="430"/>
    <n v="56.855555555555554"/>
    <s v="Dispiasa"/>
    <n v="335"/>
    <m/>
    <n v="44.294444444444444"/>
    <n v="12.56111111111111"/>
  </r>
  <r>
    <n v="198"/>
    <x v="8"/>
    <s v="noviembre"/>
    <x v="1"/>
    <s v="CCMDC001"/>
    <s v="Madera Dinizia Claro"/>
    <n v="3"/>
    <n v="240"/>
    <n v="720"/>
    <s v="Comasa"/>
    <n v="212"/>
    <m/>
    <n v="636"/>
    <n v="84"/>
  </r>
  <r>
    <n v="199"/>
    <x v="8"/>
    <s v="noviembre"/>
    <x v="1"/>
    <s v="MCZM001"/>
    <s v="Zacatepec Marrón"/>
    <n v="1.5"/>
    <n v="250"/>
    <n v="375"/>
    <s v="Dispiasa"/>
    <n v="219"/>
    <m/>
    <n v="328.5"/>
    <n v="46.5"/>
  </r>
  <r>
    <n v="200"/>
    <x v="8"/>
    <s v="noviembre"/>
    <x v="1"/>
    <s v="CCMDO001"/>
    <s v="Madera Dinizia Oscuro"/>
    <n v="5"/>
    <n v="240"/>
    <n v="1200"/>
    <s v="Comasa"/>
    <n v="212"/>
    <m/>
    <n v="1060"/>
    <n v="140"/>
  </r>
  <r>
    <n v="201"/>
    <x v="8"/>
    <s v="noviembre"/>
    <x v="7"/>
    <s v="MIA001"/>
    <s v="Inodoro Aqua Blanco"/>
    <n v="1"/>
    <n v="1650"/>
    <n v="1650"/>
    <s v="Dispiasa"/>
    <n v="1440"/>
    <m/>
    <n v="1440"/>
    <n v="210"/>
  </r>
  <r>
    <n v="202"/>
    <x v="8"/>
    <s v="noviembre"/>
    <x v="7"/>
    <s v="MIA001"/>
    <s v="Inodoro Aqua Blanco"/>
    <n v="1"/>
    <n v="1650"/>
    <n v="1650"/>
    <s v="Dispiasa"/>
    <n v="1440"/>
    <m/>
    <n v="1440"/>
    <n v="210"/>
  </r>
  <r>
    <n v="203"/>
    <x v="8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204"/>
    <x v="8"/>
    <s v="noviembre"/>
    <x v="1"/>
    <s v="CCSB001"/>
    <s v="Sunset Beige"/>
    <n v="4"/>
    <n v="280"/>
    <n v="1120"/>
    <s v="Comasa"/>
    <n v="248"/>
    <m/>
    <n v="992"/>
    <n v="128"/>
  </r>
  <r>
    <n v="205"/>
    <x v="8"/>
    <s v="noviembre"/>
    <x v="1"/>
    <s v="CCMDO001"/>
    <s v="Madera Dinizia Oscuro"/>
    <n v="30"/>
    <n v="240"/>
    <n v="7200"/>
    <s v="Comasa"/>
    <n v="212"/>
    <m/>
    <n v="6360"/>
    <n v="840"/>
  </r>
  <r>
    <n v="206"/>
    <x v="8"/>
    <s v="noviembre"/>
    <x v="8"/>
    <s v="HPBM001"/>
    <s v="Beige Marfil"/>
    <n v="1.7999999999999998"/>
    <n v="380"/>
    <n v="683.99999999999989"/>
    <s v="Halcón"/>
    <n v="340"/>
    <m/>
    <n v="611.99999999999989"/>
    <n v="72"/>
  </r>
  <r>
    <n v="207"/>
    <x v="8"/>
    <s v="noviembre"/>
    <x v="4"/>
    <s v="CBBPD"/>
    <s v="Bond Porcelanato Drytec"/>
    <n v="1"/>
    <n v="260"/>
    <n v="260"/>
    <s v="Comasa"/>
    <n v="190"/>
    <m/>
    <n v="190"/>
    <n v="70"/>
  </r>
  <r>
    <n v="208"/>
    <x v="8"/>
    <s v="noviembre"/>
    <x v="4"/>
    <s v="CBDBP001"/>
    <s v="Drytec Bond Plus"/>
    <n v="4"/>
    <n v="155"/>
    <n v="620"/>
    <s v="Comasa"/>
    <n v="127"/>
    <m/>
    <n v="508"/>
    <n v="112"/>
  </r>
  <r>
    <n v="209"/>
    <x v="8"/>
    <s v="noviembre"/>
    <x v="1"/>
    <s v="MCMV001"/>
    <s v="Mosaico Verde"/>
    <n v="2"/>
    <n v="300"/>
    <n v="600"/>
    <s v="Dispiasa"/>
    <n v="268"/>
    <m/>
    <n v="536"/>
    <n v="64"/>
  </r>
  <r>
    <n v="210"/>
    <x v="8"/>
    <s v="noviembre"/>
    <x v="6"/>
    <s v="MPPM"/>
    <s v="Porcelana Maya "/>
    <n v="6"/>
    <n v="60"/>
    <n v="360"/>
    <s v="Martinez"/>
    <n v="33.333333333333336"/>
    <m/>
    <n v="200"/>
    <n v="160"/>
  </r>
  <r>
    <n v="211"/>
    <x v="8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212"/>
    <x v="9"/>
    <s v="noviembre"/>
    <x v="2"/>
    <s v="MAPAL002"/>
    <s v="Primavera Azul Liso"/>
    <n v="2"/>
    <n v="300"/>
    <n v="600"/>
    <s v="Dispiasa"/>
    <n v="268"/>
    <m/>
    <n v="536"/>
    <n v="64"/>
  </r>
  <r>
    <n v="213"/>
    <x v="9"/>
    <s v="noviembre"/>
    <x v="2"/>
    <s v="MAPAL001"/>
    <s v="Palenque Azul Liso"/>
    <n v="14"/>
    <n v="290"/>
    <n v="4060"/>
    <s v="Dispiasa"/>
    <n v="256"/>
    <m/>
    <n v="3584"/>
    <n v="476"/>
  </r>
  <r>
    <n v="214"/>
    <x v="9"/>
    <s v="noviembre"/>
    <x v="1"/>
    <s v="MCRGG001"/>
    <s v="Rio Gris Granilla"/>
    <n v="3.3"/>
    <n v="250"/>
    <n v="825"/>
    <s v="Dispiasa"/>
    <n v="210"/>
    <m/>
    <n v="693"/>
    <n v="132"/>
  </r>
  <r>
    <n v="215"/>
    <x v="9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216"/>
    <x v="9"/>
    <s v="noviembre"/>
    <x v="4"/>
    <s v="CBDBP001"/>
    <s v="Drytec Bond Plus"/>
    <n v="1"/>
    <n v="155"/>
    <n v="155"/>
    <s v="Comasa"/>
    <n v="127"/>
    <m/>
    <n v="127"/>
    <n v="28"/>
  </r>
  <r>
    <n v="217"/>
    <x v="9"/>
    <s v="noviembre"/>
    <x v="4"/>
    <s v="CBDBP001"/>
    <s v="Drytec Bond Plus"/>
    <n v="6"/>
    <n v="155"/>
    <n v="930"/>
    <s v="Comasa"/>
    <n v="127"/>
    <m/>
    <n v="762"/>
    <n v="168"/>
  </r>
  <r>
    <n v="218"/>
    <x v="9"/>
    <s v="noviembre"/>
    <x v="7"/>
    <s v="MIEDD001"/>
    <s v="Inodoro Ecoline Day Dream"/>
    <n v="1"/>
    <n v="1850"/>
    <n v="1850"/>
    <s v="Dispiasa"/>
    <n v="1630"/>
    <m/>
    <n v="1630"/>
    <n v="220"/>
  </r>
  <r>
    <n v="219"/>
    <x v="9"/>
    <s v="noviembre"/>
    <x v="3"/>
    <s v="MLLEDD001"/>
    <s v="Lavamano Ecoline Day Dream"/>
    <n v="1"/>
    <n v="1450"/>
    <n v="1450"/>
    <s v="Dispiasa"/>
    <n v="751"/>
    <m/>
    <n v="751"/>
    <n v="699"/>
  </r>
  <r>
    <n v="220"/>
    <x v="9"/>
    <s v="noviembre"/>
    <x v="14"/>
    <s v="OOA001"/>
    <s v="Avería"/>
    <n v="3"/>
    <n v="80"/>
    <n v="240"/>
    <s v="Otro"/>
    <n v="0"/>
    <m/>
    <s v=""/>
    <s v=""/>
  </r>
  <r>
    <n v="221"/>
    <x v="9"/>
    <s v="noviembre"/>
    <x v="6"/>
    <s v="MPPM"/>
    <s v="Porcelana Maya "/>
    <n v="3"/>
    <n v="60"/>
    <n v="180"/>
    <s v="Martinez"/>
    <n v="33.333333333333336"/>
    <m/>
    <n v="100"/>
    <n v="80"/>
  </r>
  <r>
    <n v="222"/>
    <x v="9"/>
    <s v="noviembre"/>
    <x v="7"/>
    <s v="MIERV001"/>
    <s v="Inodoro Ecoline Rojo Vino"/>
    <n v="1"/>
    <n v="1950"/>
    <n v="1950"/>
    <s v="Dispiasa"/>
    <n v="1707"/>
    <m/>
    <n v="1707"/>
    <n v="243"/>
  </r>
  <r>
    <n v="223"/>
    <x v="9"/>
    <s v="noviembre"/>
    <x v="1"/>
    <s v="CCMC001"/>
    <s v="Madera Cedro"/>
    <n v="27"/>
    <n v="265"/>
    <n v="7155"/>
    <s v="Comasa"/>
    <n v="236"/>
    <m/>
    <n v="6372"/>
    <n v="783"/>
  </r>
  <r>
    <n v="224"/>
    <x v="9"/>
    <s v="noviembre"/>
    <x v="11"/>
    <s v="IBR6"/>
    <s v="Regadera de 6&quot;"/>
    <n v="1"/>
    <n v="300"/>
    <n v="300"/>
    <s v="Invercopa"/>
    <n v="226"/>
    <m/>
    <n v="226"/>
    <n v="74"/>
  </r>
  <r>
    <n v="225"/>
    <x v="9"/>
    <s v="noviembre"/>
    <x v="7"/>
    <s v="MIA001"/>
    <s v="Inodoro Aqua Blanco"/>
    <n v="1"/>
    <n v="1650"/>
    <n v="1650"/>
    <s v="Dispiasa"/>
    <n v="1440"/>
    <m/>
    <n v="1440"/>
    <n v="210"/>
  </r>
  <r>
    <n v="226"/>
    <x v="9"/>
    <s v="noviembre"/>
    <x v="1"/>
    <s v="MCZM001"/>
    <s v="Zacatepec Marrón"/>
    <n v="3"/>
    <n v="250"/>
    <n v="750"/>
    <s v="Dispiasa"/>
    <n v="219"/>
    <m/>
    <n v="657"/>
    <n v="93"/>
  </r>
  <r>
    <n v="227"/>
    <x v="9"/>
    <s v="noviembre"/>
    <x v="4"/>
    <s v="CBDBP001"/>
    <s v="Drytec Bond Plus"/>
    <n v="1"/>
    <n v="155"/>
    <n v="155"/>
    <s v="Comasa"/>
    <n v="127"/>
    <m/>
    <n v="127"/>
    <n v="28"/>
  </r>
  <r>
    <n v="228"/>
    <x v="9"/>
    <s v="noviembre"/>
    <x v="1"/>
    <s v="CCMDO001"/>
    <s v="Madera Dinizia Oscuro"/>
    <n v="0.33333333333333331"/>
    <n v="240"/>
    <n v="80"/>
    <s v="Comasa"/>
    <n v="212"/>
    <m/>
    <n v="70.666666666666657"/>
    <n v="9.3333333333333428"/>
  </r>
  <r>
    <n v="229"/>
    <x v="9"/>
    <s v="noviembre"/>
    <x v="2"/>
    <s v="MAMV001"/>
    <s v="Marsella Visón"/>
    <n v="0.23529411764705882"/>
    <n v="300"/>
    <n v="70.588235294117652"/>
    <s v="Dispiasa"/>
    <n v="268"/>
    <m/>
    <n v="63.058823529411761"/>
    <n v="7.5294117647058911"/>
  </r>
  <r>
    <n v="230"/>
    <x v="10"/>
    <s v="noviembre"/>
    <x v="0"/>
    <s v="APPK001"/>
    <s v="Plasterbond Klebe"/>
    <n v="1"/>
    <n v="100"/>
    <n v="100"/>
    <s v="Aginsa"/>
    <n v="80"/>
    <m/>
    <n v="80"/>
    <n v="20"/>
  </r>
  <r>
    <n v="231"/>
    <x v="10"/>
    <s v="noviembre"/>
    <x v="2"/>
    <s v="MAMV001"/>
    <s v="Marsella Visón"/>
    <n v="0.29411764705882354"/>
    <n v="300"/>
    <n v="88.235294117647058"/>
    <s v="Dispiasa"/>
    <n v="268"/>
    <m/>
    <n v="78.82352941176471"/>
    <n v="9.4117647058823479"/>
  </r>
  <r>
    <n v="232"/>
    <x v="10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233"/>
    <x v="10"/>
    <s v="noviembre"/>
    <x v="8"/>
    <s v="HPBM001"/>
    <s v="Beige Marfil"/>
    <n v="1.08"/>
    <n v="380"/>
    <n v="410.40000000000003"/>
    <s v="Halcón"/>
    <n v="340"/>
    <m/>
    <n v="367.20000000000005"/>
    <n v="43.199999999999989"/>
  </r>
  <r>
    <n v="234"/>
    <x v="10"/>
    <s v="noviembre"/>
    <x v="4"/>
    <s v="CBBPD"/>
    <s v="Bond Porcelanato Drytec"/>
    <n v="1"/>
    <n v="260"/>
    <n v="260"/>
    <s v="Comasa"/>
    <n v="190"/>
    <m/>
    <n v="190"/>
    <n v="70"/>
  </r>
  <r>
    <n v="235"/>
    <x v="10"/>
    <s v="noviembre"/>
    <x v="1"/>
    <s v="MCTA001"/>
    <s v="Tapachula Azul"/>
    <n v="2"/>
    <n v="250"/>
    <n v="500"/>
    <s v="Dispiasa"/>
    <n v="218"/>
    <m/>
    <n v="436"/>
    <n v="64"/>
  </r>
  <r>
    <n v="236"/>
    <x v="10"/>
    <s v="noviembre"/>
    <x v="1"/>
    <s v="MCO001"/>
    <s v="Ontario"/>
    <n v="1"/>
    <n v="300"/>
    <n v="300"/>
    <s v="Dispiasa"/>
    <n v="268"/>
    <m/>
    <n v="268"/>
    <n v="32"/>
  </r>
  <r>
    <n v="237"/>
    <x v="10"/>
    <s v="noviembre"/>
    <x v="1"/>
    <s v="CCC001"/>
    <s v="Casilina"/>
    <n v="0.35833333333333328"/>
    <n v="250"/>
    <n v="89.583333333333314"/>
    <s v="Comasa"/>
    <n v="220"/>
    <m/>
    <n v="78.833333333333329"/>
    <n v="10.749999999999986"/>
  </r>
  <r>
    <n v="238"/>
    <x v="10"/>
    <s v="noviembre"/>
    <x v="1"/>
    <s v="MCZM001"/>
    <s v="Zacatepec Marrón"/>
    <n v="7"/>
    <n v="250"/>
    <n v="1750"/>
    <s v="Dispiasa"/>
    <n v="219"/>
    <m/>
    <n v="1533"/>
    <n v="217"/>
  </r>
  <r>
    <n v="239"/>
    <x v="11"/>
    <s v="noviembre"/>
    <x v="1"/>
    <s v="MCJM001"/>
    <s v="Janeiro Marrón"/>
    <n v="1"/>
    <n v="250"/>
    <n v="250"/>
    <s v="Dispiasa"/>
    <n v="219"/>
    <m/>
    <n v="219"/>
    <n v="31"/>
  </r>
  <r>
    <n v="240"/>
    <x v="11"/>
    <s v="noviembre"/>
    <x v="2"/>
    <s v="MA722M001"/>
    <s v="722 Marrón"/>
    <n v="5"/>
    <n v="270"/>
    <n v="1350"/>
    <s v="Dispiasa"/>
    <n v="207"/>
    <m/>
    <n v="1035"/>
    <n v="315"/>
  </r>
  <r>
    <n v="241"/>
    <x v="11"/>
    <s v="noviembre"/>
    <x v="1"/>
    <s v="MCRGG001"/>
    <s v="Rio Gris Granilla"/>
    <n v="0.2"/>
    <n v="250"/>
    <n v="50"/>
    <s v="Dispiasa"/>
    <n v="210"/>
    <m/>
    <n v="42"/>
    <n v="8"/>
  </r>
  <r>
    <n v="242"/>
    <x v="11"/>
    <s v="noviembre"/>
    <x v="13"/>
    <s v="MFCM001"/>
    <s v="Creta Marrón"/>
    <n v="8"/>
    <n v="430"/>
    <n v="3440"/>
    <s v="Dispiasa"/>
    <n v="335"/>
    <m/>
    <n v="2680"/>
    <n v="760"/>
  </r>
  <r>
    <n v="243"/>
    <x v="11"/>
    <s v="noviembre"/>
    <x v="11"/>
    <s v="IBRG"/>
    <s v="Rejilla Griven"/>
    <n v="2"/>
    <n v="100"/>
    <n v="200"/>
    <s v="Invercopa"/>
    <n v="74"/>
    <m/>
    <n v="148"/>
    <n v="52"/>
  </r>
  <r>
    <n v="244"/>
    <x v="11"/>
    <s v="noviembre"/>
    <x v="4"/>
    <s v="CBDBP001"/>
    <s v="Drytec Bond Plus"/>
    <n v="2"/>
    <n v="155"/>
    <n v="310"/>
    <s v="Comasa"/>
    <n v="127"/>
    <m/>
    <n v="254"/>
    <n v="56"/>
  </r>
  <r>
    <n v="245"/>
    <x v="11"/>
    <s v="noviembre"/>
    <x v="14"/>
    <s v="ROAM001"/>
    <s v="Ácido Muriático"/>
    <n v="1"/>
    <n v="60"/>
    <n v="60"/>
    <s v="Rodriguez"/>
    <n v="50.5"/>
    <m/>
    <n v="50.5"/>
    <n v="9.5"/>
  </r>
  <r>
    <n v="246"/>
    <x v="11"/>
    <s v="noviembre"/>
    <x v="1"/>
    <s v="CCMDO001"/>
    <s v="Madera Dinizia Oscuro"/>
    <n v="0.55555555555555558"/>
    <n v="240"/>
    <n v="133.33333333333334"/>
    <s v="Comasa"/>
    <n v="212"/>
    <m/>
    <n v="117.77777777777779"/>
    <n v="15.555555555555557"/>
  </r>
  <r>
    <n v="247"/>
    <x v="11"/>
    <s v="noviembre"/>
    <x v="6"/>
    <s v="MPPM"/>
    <s v="Porcelana Maya "/>
    <n v="3"/>
    <n v="60"/>
    <n v="180"/>
    <s v="Martinez"/>
    <n v="33.333333333333336"/>
    <m/>
    <n v="100"/>
    <n v="80"/>
  </r>
  <r>
    <n v="248"/>
    <x v="11"/>
    <s v="noviembre"/>
    <x v="1"/>
    <s v="CCSB001"/>
    <s v="Sunset Beige"/>
    <n v="0.44444444444444442"/>
    <n v="280"/>
    <n v="124.44444444444444"/>
    <s v="Comasa"/>
    <n v="248"/>
    <m/>
    <n v="110.22222222222221"/>
    <n v="14.222222222222229"/>
  </r>
  <r>
    <n v="249"/>
    <x v="11"/>
    <s v="noviembre"/>
    <x v="1"/>
    <s v="MCZM001"/>
    <s v="Zacatepec Marrón"/>
    <n v="1"/>
    <n v="250"/>
    <n v="250"/>
    <s v="Dispiasa"/>
    <n v="219"/>
    <m/>
    <n v="219"/>
    <n v="31"/>
  </r>
  <r>
    <n v="250"/>
    <x v="11"/>
    <s v="noviembre"/>
    <x v="1"/>
    <s v="CCMDO001"/>
    <s v="Madera Dinizia Oscuro"/>
    <n v="15"/>
    <n v="225"/>
    <n v="3375"/>
    <s v="Comasa"/>
    <n v="212"/>
    <m/>
    <n v="3180"/>
    <n v="195"/>
  </r>
  <r>
    <n v="251"/>
    <x v="11"/>
    <s v="noviembre"/>
    <x v="0"/>
    <s v="APPK001"/>
    <s v="Plasterbond Klebe"/>
    <n v="2"/>
    <n v="100"/>
    <n v="200"/>
    <s v="Aginsa"/>
    <n v="80"/>
    <m/>
    <n v="160"/>
    <n v="40"/>
  </r>
  <r>
    <n v="252"/>
    <x v="11"/>
    <s v="noviembre"/>
    <x v="2"/>
    <s v="MAMB001"/>
    <s v="Marsella Blanco"/>
    <n v="5"/>
    <n v="300"/>
    <n v="1500"/>
    <s v="Dispiasa"/>
    <n v="268"/>
    <m/>
    <n v="1340"/>
    <n v="160"/>
  </r>
  <r>
    <n v="253"/>
    <x v="12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254"/>
    <x v="12"/>
    <s v="noviembre"/>
    <x v="1"/>
    <s v="CCMDO001"/>
    <s v="Madera Dinizia Oscuro"/>
    <n v="14.45"/>
    <n v="240"/>
    <n v="3468"/>
    <s v="Comasa"/>
    <n v="212"/>
    <m/>
    <n v="3063.3999999999996"/>
    <n v="404.60000000000036"/>
  </r>
  <r>
    <n v="255"/>
    <x v="12"/>
    <s v="noviembre"/>
    <x v="1"/>
    <s v="MCZM001"/>
    <s v="Zacatepec Marrón"/>
    <n v="0.6"/>
    <n v="250"/>
    <n v="150"/>
    <s v="Dispiasa"/>
    <n v="219"/>
    <m/>
    <n v="131.4"/>
    <n v="18.599999999999994"/>
  </r>
  <r>
    <n v="256"/>
    <x v="12"/>
    <s v="noviembre"/>
    <x v="1"/>
    <s v="CCMDO001"/>
    <s v="Madera Dinizia Oscuro"/>
    <n v="26.5"/>
    <n v="240"/>
    <n v="6360"/>
    <s v="Comasa"/>
    <n v="212"/>
    <m/>
    <n v="5618"/>
    <n v="742"/>
  </r>
  <r>
    <n v="257"/>
    <x v="12"/>
    <s v="noviembre"/>
    <x v="4"/>
    <s v="CBDBP001"/>
    <s v="Drytec Bond Plus"/>
    <n v="15"/>
    <n v="150"/>
    <n v="2250"/>
    <s v="Comasa"/>
    <n v="127"/>
    <m/>
    <n v="1905"/>
    <n v="345"/>
  </r>
  <r>
    <n v="258"/>
    <x v="12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259"/>
    <x v="12"/>
    <s v="noviembre"/>
    <x v="3"/>
    <s v="MLA001"/>
    <s v="Lavamano Aqua Blanco"/>
    <n v="2"/>
    <n v="900"/>
    <n v="1800"/>
    <s v="Dispiasa"/>
    <n v="480"/>
    <m/>
    <n v="960"/>
    <n v="840"/>
  </r>
  <r>
    <n v="260"/>
    <x v="12"/>
    <s v="noviembre"/>
    <x v="3"/>
    <s v="SLTCF"/>
    <s v="Trampa Cespol Fama"/>
    <n v="2"/>
    <n v="60"/>
    <n v="120"/>
    <s v="Silco"/>
    <n v="0"/>
    <m/>
    <s v=""/>
    <s v=""/>
  </r>
  <r>
    <n v="261"/>
    <x v="12"/>
    <s v="noviembre"/>
    <x v="3"/>
    <s v="SLCLC"/>
    <s v="Centro de Lavamano Cromada"/>
    <n v="2"/>
    <n v="60"/>
    <n v="120"/>
    <s v="Silco"/>
    <n v="0"/>
    <m/>
    <s v=""/>
    <s v=""/>
  </r>
  <r>
    <n v="262"/>
    <x v="12"/>
    <s v="noviembre"/>
    <x v="3"/>
    <s v="SLLLC"/>
    <s v="Llave de Lavamano Cromada"/>
    <n v="2"/>
    <n v="80"/>
    <n v="160"/>
    <s v="Silco"/>
    <n v="72"/>
    <m/>
    <n v="144"/>
    <n v="16"/>
  </r>
  <r>
    <n v="263"/>
    <x v="12"/>
    <s v="noviembre"/>
    <x v="8"/>
    <s v="HPBM001"/>
    <s v="Beige Marfil"/>
    <n v="57"/>
    <n v="380"/>
    <n v="21660"/>
    <s v="Halcón"/>
    <n v="340"/>
    <m/>
    <n v="19380"/>
    <n v="2280"/>
  </r>
  <r>
    <n v="264"/>
    <x v="12"/>
    <s v="noviembre"/>
    <x v="4"/>
    <s v="CBDBP001"/>
    <s v="Drytec Bond Plus"/>
    <n v="25"/>
    <n v="155"/>
    <n v="3875"/>
    <s v="Comasa"/>
    <n v="127"/>
    <m/>
    <n v="3175"/>
    <n v="700"/>
  </r>
  <r>
    <n v="265"/>
    <x v="12"/>
    <s v="noviembre"/>
    <x v="5"/>
    <s v="SS003"/>
    <s v="Separadores de 3 mm"/>
    <n v="3"/>
    <n v="35"/>
    <n v="105"/>
    <s v="Silco"/>
    <n v="26"/>
    <m/>
    <n v="78"/>
    <n v="27"/>
  </r>
  <r>
    <n v="266"/>
    <x v="12"/>
    <s v="noviembre"/>
    <x v="15"/>
    <s v="MPPP001"/>
    <s v="Pana de Pantry Tramontina"/>
    <n v="1"/>
    <n v="1550"/>
    <n v="1550"/>
    <s v="Dispiasa"/>
    <n v="1260"/>
    <m/>
    <n v="1260"/>
    <n v="290"/>
  </r>
  <r>
    <n v="267"/>
    <x v="12"/>
    <s v="noviembre"/>
    <x v="15"/>
    <s v="IPLPDCAG"/>
    <s v="Llave de Pantry Doble Cuello Alto Griven"/>
    <n v="1"/>
    <n v="650"/>
    <n v="650"/>
    <s v="Invercopa"/>
    <n v="451"/>
    <m/>
    <n v="451"/>
    <n v="199"/>
  </r>
  <r>
    <n v="268"/>
    <x v="12"/>
    <s v="noviembre"/>
    <x v="15"/>
    <s v="SPCPA"/>
    <s v="Centro de Pantry Aqua"/>
    <n v="1"/>
    <n v="90"/>
    <n v="90"/>
    <s v="Silco"/>
    <n v="0"/>
    <m/>
    <s v=""/>
    <s v=""/>
  </r>
  <r>
    <n v="269"/>
    <x v="12"/>
    <s v="noviembre"/>
    <x v="3"/>
    <s v="SLTCF"/>
    <s v="Trampa Cespol Fama"/>
    <n v="1"/>
    <n v="80"/>
    <n v="80"/>
    <s v="Silco"/>
    <n v="0"/>
    <m/>
    <s v=""/>
    <s v=""/>
  </r>
  <r>
    <n v="270"/>
    <x v="12"/>
    <s v="noviembre"/>
    <x v="1"/>
    <s v="MCRGG001"/>
    <s v="Rio Gris Granilla"/>
    <n v="2"/>
    <n v="250"/>
    <n v="500"/>
    <s v="Dispiasa"/>
    <n v="210"/>
    <m/>
    <n v="420"/>
    <n v="80"/>
  </r>
  <r>
    <n v="271"/>
    <x v="12"/>
    <s v="noviembre"/>
    <x v="1"/>
    <s v="MCDB001"/>
    <s v="Dubai Beige"/>
    <n v="1.5"/>
    <n v="300"/>
    <n v="450"/>
    <s v="Dispiasa"/>
    <n v="268"/>
    <m/>
    <n v="402"/>
    <n v="48"/>
  </r>
  <r>
    <n v="272"/>
    <x v="12"/>
    <s v="noviembre"/>
    <x v="0"/>
    <s v="APPK001"/>
    <s v="Plasterbond Klebe"/>
    <n v="0.5"/>
    <n v="100"/>
    <n v="50"/>
    <s v="Aginsa"/>
    <n v="80"/>
    <m/>
    <n v="40"/>
    <n v="10"/>
  </r>
  <r>
    <n v="273"/>
    <x v="12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274"/>
    <x v="12"/>
    <s v="noviembre"/>
    <x v="1"/>
    <s v="CCMDO001"/>
    <s v="Madera Dinizia Oscuro"/>
    <n v="10"/>
    <n v="240"/>
    <n v="2400"/>
    <s v="Comasa"/>
    <n v="212"/>
    <m/>
    <n v="2120"/>
    <n v="280"/>
  </r>
  <r>
    <n v="275"/>
    <x v="12"/>
    <s v="noviembre"/>
    <x v="1"/>
    <s v="MCNO001"/>
    <s v="Nogal Oscuro"/>
    <n v="3"/>
    <n v="300"/>
    <n v="900"/>
    <s v="Dispiasa"/>
    <n v="268"/>
    <m/>
    <n v="804"/>
    <n v="96"/>
  </r>
  <r>
    <n v="276"/>
    <x v="12"/>
    <s v="noviembre"/>
    <x v="7"/>
    <s v="MIECL001"/>
    <s v="Inodoro Ecoline Candle Ligth"/>
    <n v="1"/>
    <n v="1850"/>
    <n v="1850"/>
    <s v="Dispiasa"/>
    <n v="1630"/>
    <m/>
    <n v="1630"/>
    <n v="220"/>
  </r>
  <r>
    <n v="277"/>
    <x v="12"/>
    <s v="noviembre"/>
    <x v="11"/>
    <s v="IBCC"/>
    <s v="Cortina Colibrí"/>
    <n v="1"/>
    <n v="150"/>
    <n v="150"/>
    <s v="Invercopa"/>
    <n v="94"/>
    <m/>
    <n v="94"/>
    <n v="56"/>
  </r>
  <r>
    <n v="278"/>
    <x v="12"/>
    <s v="noviembre"/>
    <x v="11"/>
    <s v="BBTCP"/>
    <s v="Tubo de cortina Peq"/>
    <n v="1"/>
    <n v="140"/>
    <n v="140"/>
    <s v="Boniche"/>
    <n v="0"/>
    <m/>
    <s v=""/>
    <s v=""/>
  </r>
  <r>
    <n v="279"/>
    <x v="12"/>
    <s v="noviembre"/>
    <x v="1"/>
    <s v="CCMDO001"/>
    <s v="Madera Dinizia Oscuro"/>
    <n v="52"/>
    <n v="225"/>
    <n v="11700"/>
    <s v="Comasa"/>
    <n v="212"/>
    <m/>
    <n v="11024"/>
    <n v="676"/>
  </r>
  <r>
    <n v="280"/>
    <x v="12"/>
    <s v="noviembre"/>
    <x v="1"/>
    <s v="CCSB001"/>
    <s v="Sunset Beige"/>
    <n v="1.53"/>
    <n v="280"/>
    <n v="428.40000000000003"/>
    <s v="Comasa"/>
    <n v="248"/>
    <m/>
    <n v="379.44"/>
    <n v="48.960000000000036"/>
  </r>
  <r>
    <n v="281"/>
    <x v="12"/>
    <s v="noviembre"/>
    <x v="7"/>
    <s v="MIEB001"/>
    <s v="Inodoro Ecoline Bone"/>
    <n v="1"/>
    <n v="1850"/>
    <n v="1850"/>
    <s v="Dispiasa"/>
    <n v="1630"/>
    <m/>
    <n v="1630"/>
    <n v="220"/>
  </r>
  <r>
    <n v="282"/>
    <x v="12"/>
    <s v="noviembre"/>
    <x v="8"/>
    <s v="HPBM001"/>
    <s v="Beige Marfil"/>
    <n v="7"/>
    <n v="380"/>
    <n v="2660"/>
    <s v="Halcón"/>
    <n v="340"/>
    <m/>
    <n v="2380"/>
    <n v="280"/>
  </r>
  <r>
    <n v="283"/>
    <x v="13"/>
    <s v="noviembre"/>
    <x v="11"/>
    <s v="IBLD"/>
    <s v="Llave de Ducha"/>
    <n v="2"/>
    <n v="280"/>
    <n v="560"/>
    <s v="Invercopa"/>
    <n v="190"/>
    <m/>
    <n v="380"/>
    <n v="180"/>
  </r>
  <r>
    <n v="284"/>
    <x v="13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285"/>
    <x v="13"/>
    <s v="noviembre"/>
    <x v="1"/>
    <s v="CCMDO001"/>
    <s v="Madera Dinizia Oscuro"/>
    <n v="40"/>
    <n v="240"/>
    <n v="9600"/>
    <s v="Comasa"/>
    <n v="212"/>
    <m/>
    <n v="8480"/>
    <n v="1120"/>
  </r>
  <r>
    <n v="286"/>
    <x v="13"/>
    <s v="noviembre"/>
    <x v="6"/>
    <s v="MPPM"/>
    <s v="Porcelana Maya "/>
    <n v="10"/>
    <n v="60"/>
    <n v="600"/>
    <s v="Martinez"/>
    <n v="33.333333333333336"/>
    <m/>
    <n v="333.33333333333337"/>
    <n v="266.66666666666663"/>
  </r>
  <r>
    <n v="287"/>
    <x v="13"/>
    <s v="noviembre"/>
    <x v="4"/>
    <s v="CBDBP001"/>
    <s v="Drytec Bond Plus"/>
    <n v="34"/>
    <n v="155"/>
    <n v="5270"/>
    <s v="Comasa"/>
    <n v="135"/>
    <m/>
    <n v="4590"/>
    <n v="680"/>
  </r>
  <r>
    <n v="288"/>
    <x v="13"/>
    <s v="noviembre"/>
    <x v="6"/>
    <s v="MPPM"/>
    <s v="Porcelana Maya "/>
    <n v="10"/>
    <n v="60"/>
    <n v="600"/>
    <s v="Martinez"/>
    <n v="33.333333333333336"/>
    <m/>
    <n v="333.33333333333337"/>
    <n v="266.66666666666663"/>
  </r>
  <r>
    <n v="289"/>
    <x v="13"/>
    <s v="noviembre"/>
    <x v="4"/>
    <s v="CBDBP001"/>
    <s v="Drytec Bond Plus"/>
    <n v="7"/>
    <n v="150"/>
    <n v="1050"/>
    <s v="Comasa"/>
    <n v="127"/>
    <m/>
    <n v="889"/>
    <n v="161"/>
  </r>
  <r>
    <n v="290"/>
    <x v="13"/>
    <s v="noviembre"/>
    <x v="1"/>
    <s v="CCMDO001"/>
    <s v="Madera Dinizia Oscuro"/>
    <n v="0.55555555555555558"/>
    <n v="240"/>
    <n v="133.33333333333334"/>
    <s v="Comasa"/>
    <n v="212"/>
    <m/>
    <n v="117.77777777777779"/>
    <n v="15.555555555555557"/>
  </r>
  <r>
    <n v="291"/>
    <x v="13"/>
    <s v="noviembre"/>
    <x v="1"/>
    <s v="MC802R001"/>
    <s v="802 Roble"/>
    <n v="2"/>
    <n v="240"/>
    <n v="480"/>
    <s v="Dispiasa"/>
    <n v="207"/>
    <m/>
    <n v="414"/>
    <n v="66"/>
  </r>
  <r>
    <n v="292"/>
    <x v="13"/>
    <s v="noviembre"/>
    <x v="1"/>
    <s v="CCMC001"/>
    <s v="Madera Cedro"/>
    <n v="5.35"/>
    <n v="280"/>
    <n v="1498"/>
    <s v="Comasa"/>
    <n v="236"/>
    <m/>
    <n v="1262.5999999999999"/>
    <n v="235.40000000000009"/>
  </r>
  <r>
    <n v="293"/>
    <x v="13"/>
    <s v="noviembre"/>
    <x v="1"/>
    <s v="CCSB001"/>
    <s v="Sunset Beige"/>
    <n v="4"/>
    <n v="280"/>
    <n v="1120"/>
    <s v="Comasa"/>
    <n v="248"/>
    <m/>
    <n v="992"/>
    <n v="128"/>
  </r>
  <r>
    <n v="294"/>
    <x v="13"/>
    <s v="noviembre"/>
    <x v="1"/>
    <s v="CCSA001"/>
    <s v="Sunset Azul"/>
    <n v="3.5"/>
    <n v="280"/>
    <n v="980"/>
    <s v="Comasa"/>
    <n v="248"/>
    <m/>
    <n v="868"/>
    <n v="112"/>
  </r>
  <r>
    <n v="295"/>
    <x v="13"/>
    <s v="noviembre"/>
    <x v="1"/>
    <s v="CCSA001"/>
    <s v="Sunset Azul"/>
    <n v="0.1111111111111111"/>
    <n v="280"/>
    <n v="31.111111111111111"/>
    <s v="Comasa"/>
    <n v="248"/>
    <m/>
    <n v="27.555555555555554"/>
    <n v="3.5555555555555571"/>
  </r>
  <r>
    <n v="296"/>
    <x v="13"/>
    <s v="noviembre"/>
    <x v="1"/>
    <s v="CCMDO001"/>
    <s v="Madera Dinizia Oscuro"/>
    <n v="8"/>
    <n v="240"/>
    <n v="1920"/>
    <s v="Comasa"/>
    <n v="212"/>
    <m/>
    <n v="1696"/>
    <n v="224"/>
  </r>
  <r>
    <n v="297"/>
    <x v="13"/>
    <s v="noviembre"/>
    <x v="1"/>
    <s v="CCMC001"/>
    <s v="Madera Cedro"/>
    <n v="16"/>
    <n v="280"/>
    <n v="4480"/>
    <s v="Comasa"/>
    <n v="236"/>
    <m/>
    <n v="3776"/>
    <n v="704"/>
  </r>
  <r>
    <n v="298"/>
    <x v="13"/>
    <s v="noviembre"/>
    <x v="1"/>
    <s v="CCMDO001"/>
    <s v="Madera Dinizia Oscuro"/>
    <n v="24"/>
    <n v="240"/>
    <n v="5760"/>
    <s v="Comasa"/>
    <n v="212"/>
    <m/>
    <n v="5088"/>
    <n v="672"/>
  </r>
  <r>
    <n v="299"/>
    <x v="13"/>
    <s v="noviembre"/>
    <x v="1"/>
    <s v="MCSM001"/>
    <s v="Sorrento Marrón Liso"/>
    <n v="20"/>
    <n v="295"/>
    <n v="5900"/>
    <s v="Dispiasa"/>
    <n v="268"/>
    <m/>
    <n v="5360"/>
    <n v="540"/>
  </r>
  <r>
    <n v="300"/>
    <x v="13"/>
    <s v="noviembre"/>
    <x v="7"/>
    <s v="MIA001"/>
    <s v="Inodoro Aqua Blanco"/>
    <n v="1"/>
    <n v="1650"/>
    <n v="1650"/>
    <s v="Dispiasa"/>
    <n v="1440"/>
    <m/>
    <n v="1440"/>
    <n v="210"/>
  </r>
  <r>
    <n v="301"/>
    <x v="14"/>
    <s v="noviembre"/>
    <x v="2"/>
    <s v="MALVL001"/>
    <s v="Lisboa Verde Liso"/>
    <n v="3.5"/>
    <n v="300"/>
    <n v="1050"/>
    <s v="Dispiasa"/>
    <n v="268"/>
    <m/>
    <n v="938"/>
    <n v="112"/>
  </r>
  <r>
    <n v="302"/>
    <x v="14"/>
    <s v="noviembre"/>
    <x v="2"/>
    <s v="MABBL001"/>
    <s v="Bruselas Beige Liso"/>
    <n v="3"/>
    <n v="300"/>
    <n v="900"/>
    <s v="Dispiasa"/>
    <n v="268"/>
    <m/>
    <n v="804"/>
    <n v="96"/>
  </r>
  <r>
    <n v="303"/>
    <x v="14"/>
    <s v="noviembre"/>
    <x v="2"/>
    <s v="MA722M001"/>
    <s v="722 Marrón"/>
    <n v="3"/>
    <n v="270"/>
    <n v="810"/>
    <s v="Dispiasa"/>
    <n v="207"/>
    <m/>
    <n v="621"/>
    <n v="189"/>
  </r>
  <r>
    <n v="304"/>
    <x v="14"/>
    <s v="noviembre"/>
    <x v="2"/>
    <s v="CAAPB001"/>
    <s v="Andes Plus Blanco"/>
    <n v="1"/>
    <n v="300"/>
    <n v="300"/>
    <s v="Comasa"/>
    <n v="272"/>
    <m/>
    <n v="272"/>
    <n v="28"/>
  </r>
  <r>
    <n v="305"/>
    <x v="14"/>
    <s v="noviembre"/>
    <x v="2"/>
    <s v="CAAPB001"/>
    <s v="Andes Plus Blanco"/>
    <n v="0.125"/>
    <n v="300"/>
    <n v="37.5"/>
    <s v="Comasa"/>
    <n v="272"/>
    <m/>
    <n v="34"/>
    <n v="3.5"/>
  </r>
  <r>
    <n v="306"/>
    <x v="14"/>
    <s v="noviembre"/>
    <x v="7"/>
    <s v="MIA001"/>
    <s v="Inodoro Aqua Blanco"/>
    <n v="1"/>
    <n v="1650"/>
    <n v="1650"/>
    <s v="Dispiasa"/>
    <n v="1440"/>
    <m/>
    <n v="1440"/>
    <n v="210"/>
  </r>
  <r>
    <n v="307"/>
    <x v="14"/>
    <s v="noviembre"/>
    <x v="2"/>
    <s v="MA722M001"/>
    <s v="722 Marrón"/>
    <n v="3"/>
    <n v="270"/>
    <n v="810"/>
    <s v="Dispiasa"/>
    <n v="207"/>
    <m/>
    <n v="621"/>
    <n v="189"/>
  </r>
  <r>
    <n v="308"/>
    <x v="14"/>
    <s v="noviembre"/>
    <x v="1"/>
    <s v="CCC048"/>
    <s v="Carmine "/>
    <n v="4"/>
    <n v="300"/>
    <n v="1200"/>
    <s v="Comasa"/>
    <n v="242"/>
    <m/>
    <n v="968"/>
    <n v="232"/>
  </r>
  <r>
    <n v="309"/>
    <x v="14"/>
    <s v="noviembre"/>
    <x v="1"/>
    <s v="CCSA001"/>
    <s v="Sunset Azul"/>
    <n v="1.5"/>
    <n v="280"/>
    <n v="420"/>
    <s v="Comasa"/>
    <n v="248"/>
    <m/>
    <n v="372"/>
    <n v="48"/>
  </r>
  <r>
    <n v="310"/>
    <x v="14"/>
    <s v="noviembre"/>
    <x v="1"/>
    <s v="MC222B001"/>
    <s v="222 Blanco"/>
    <n v="1.5"/>
    <n v="240"/>
    <n v="360"/>
    <s v="Dispiasa"/>
    <n v="207"/>
    <m/>
    <n v="310.5"/>
    <n v="49.5"/>
  </r>
  <r>
    <n v="311"/>
    <x v="14"/>
    <s v="noviembre"/>
    <x v="2"/>
    <s v="MAPA1002"/>
    <s v="Primavera Azul 1"/>
    <n v="1.5"/>
    <n v="300"/>
    <n v="450"/>
    <s v="Dispiasa"/>
    <n v="268"/>
    <m/>
    <n v="402"/>
    <n v="48"/>
  </r>
  <r>
    <n v="312"/>
    <x v="14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313"/>
    <x v="14"/>
    <s v="noviembre"/>
    <x v="5"/>
    <s v="SS003"/>
    <s v="Separadores de 3 mm"/>
    <n v="1"/>
    <n v="35"/>
    <n v="35"/>
    <s v="Silco"/>
    <n v="26"/>
    <m/>
    <n v="26"/>
    <n v="9"/>
  </r>
  <r>
    <n v="314"/>
    <x v="14"/>
    <s v="noviembre"/>
    <x v="1"/>
    <s v="CCMDC001"/>
    <s v="Madera Dinizia Claro"/>
    <n v="1"/>
    <n v="240"/>
    <n v="240"/>
    <s v="Comasa"/>
    <n v="212"/>
    <m/>
    <n v="212"/>
    <n v="28"/>
  </r>
  <r>
    <n v="315"/>
    <x v="14"/>
    <s v="noviembre"/>
    <x v="1"/>
    <s v="CCMDO001"/>
    <s v="Madera Dinizia Oscuro"/>
    <n v="23"/>
    <n v="240"/>
    <n v="5520"/>
    <s v="Comasa"/>
    <n v="212"/>
    <m/>
    <n v="4876"/>
    <n v="644"/>
  </r>
  <r>
    <n v="316"/>
    <x v="14"/>
    <s v="noviembre"/>
    <x v="6"/>
    <s v="CPN3K"/>
    <s v="Naranja 3k"/>
    <n v="2"/>
    <n v="100"/>
    <n v="200"/>
    <s v="Comasa"/>
    <n v="80"/>
    <m/>
    <n v="160"/>
    <n v="40"/>
  </r>
  <r>
    <n v="317"/>
    <x v="14"/>
    <s v="noviembre"/>
    <x v="5"/>
    <s v="SS003"/>
    <s v="Separadores de 3 mm"/>
    <n v="1"/>
    <n v="35"/>
    <n v="35"/>
    <s v="Silco"/>
    <n v="26"/>
    <m/>
    <n v="26"/>
    <n v="9"/>
  </r>
  <r>
    <n v="318"/>
    <x v="14"/>
    <s v="noviembre"/>
    <x v="2"/>
    <s v="MANBC001"/>
    <s v="Nova Blanco Cocina"/>
    <n v="2"/>
    <n v="270"/>
    <n v="540"/>
    <s v="Dispiasa"/>
    <n v="207"/>
    <m/>
    <n v="414"/>
    <n v="126"/>
  </r>
  <r>
    <n v="319"/>
    <x v="15"/>
    <s v="noviembre"/>
    <x v="2"/>
    <s v="MACV001"/>
    <s v="Calpe Visón"/>
    <n v="0.23529411764705882"/>
    <n v="300"/>
    <n v="70.588235294117652"/>
    <s v="Dispiasa"/>
    <n v="268"/>
    <m/>
    <n v="63.058823529411761"/>
    <n v="7.5294117647058911"/>
  </r>
  <r>
    <n v="320"/>
    <x v="15"/>
    <s v="noviembre"/>
    <x v="12"/>
    <s v="CLRA001"/>
    <s v="Romance Azul"/>
    <n v="4"/>
    <n v="75"/>
    <n v="300"/>
    <s v="Comasa"/>
    <n v="54"/>
    <m/>
    <n v="216"/>
    <n v="84"/>
  </r>
  <r>
    <n v="321"/>
    <x v="15"/>
    <s v="noviembre"/>
    <x v="1"/>
    <s v="MC822R001"/>
    <s v="822 Roble"/>
    <n v="7"/>
    <n v="240"/>
    <n v="1680"/>
    <s v="Dispiasa"/>
    <n v="207"/>
    <m/>
    <n v="1449"/>
    <n v="231"/>
  </r>
  <r>
    <n v="322"/>
    <x v="15"/>
    <s v="noviembre"/>
    <x v="1"/>
    <s v="MCZM001"/>
    <s v="Zacatepec Marrón"/>
    <n v="1.26"/>
    <n v="250"/>
    <n v="315"/>
    <s v="Dispiasa"/>
    <n v="219"/>
    <m/>
    <n v="275.94"/>
    <n v="39.06"/>
  </r>
  <r>
    <n v="323"/>
    <x v="15"/>
    <s v="noviembre"/>
    <x v="2"/>
    <s v="CAAPB001"/>
    <s v="Andes Plus Blanco"/>
    <n v="1.8"/>
    <n v="300"/>
    <n v="540"/>
    <s v="Comasa"/>
    <n v="272"/>
    <m/>
    <n v="489.6"/>
    <n v="50.399999999999977"/>
  </r>
  <r>
    <n v="324"/>
    <x v="15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325"/>
    <x v="15"/>
    <s v="noviembre"/>
    <x v="4"/>
    <s v="CBDBP001"/>
    <s v="Drytec Bond Plus"/>
    <n v="4"/>
    <n v="155"/>
    <n v="620"/>
    <s v="Comasa"/>
    <n v="127"/>
    <m/>
    <n v="508"/>
    <n v="112"/>
  </r>
  <r>
    <n v="326"/>
    <x v="15"/>
    <s v="noviembre"/>
    <x v="3"/>
    <s v="CLC001"/>
    <s v="Lavamano Cato Blanco"/>
    <n v="1"/>
    <n v="1300"/>
    <n v="1300"/>
    <s v="Comasa"/>
    <n v="500"/>
    <m/>
    <n v="500"/>
    <n v="800"/>
  </r>
  <r>
    <n v="327"/>
    <x v="15"/>
    <s v="noviembre"/>
    <x v="3"/>
    <s v="CLPCB001"/>
    <s v="Pedestal Cato Blanco"/>
    <n v="1"/>
    <n v="900"/>
    <n v="900"/>
    <s v="Comasa"/>
    <n v="750"/>
    <m/>
    <n v="750"/>
    <n v="150"/>
  </r>
  <r>
    <n v="328"/>
    <x v="15"/>
    <s v="noviembre"/>
    <x v="0"/>
    <s v="APPK001"/>
    <s v="Plasterbond Klebe"/>
    <n v="2"/>
    <n v="100"/>
    <n v="200"/>
    <s v="Aginsa"/>
    <n v="80"/>
    <m/>
    <n v="160"/>
    <n v="40"/>
  </r>
  <r>
    <n v="329"/>
    <x v="15"/>
    <s v="noviembre"/>
    <x v="1"/>
    <s v="MCNM001"/>
    <s v="Natal Marrón"/>
    <n v="15"/>
    <n v="240"/>
    <n v="3600"/>
    <s v="Dispiasa"/>
    <n v="207"/>
    <m/>
    <n v="3105"/>
    <n v="495"/>
  </r>
  <r>
    <n v="330"/>
    <x v="15"/>
    <s v="noviembre"/>
    <x v="14"/>
    <s v="IOC001"/>
    <s v="Costrec"/>
    <n v="1"/>
    <n v="120"/>
    <n v="120"/>
    <s v="Rodriguez"/>
    <n v="100"/>
    <m/>
    <n v="100"/>
    <n v="20"/>
  </r>
  <r>
    <n v="331"/>
    <x v="15"/>
    <s v="noviembre"/>
    <x v="2"/>
    <s v="CAAPB001"/>
    <s v="Andes Plus Blanco"/>
    <n v="2"/>
    <n v="300"/>
    <n v="600"/>
    <s v="Comasa"/>
    <n v="272"/>
    <m/>
    <n v="544"/>
    <n v="56"/>
  </r>
  <r>
    <n v="332"/>
    <x v="15"/>
    <s v="noviembre"/>
    <x v="2"/>
    <s v="MAPAL001"/>
    <s v="Palenque Azul Liso"/>
    <n v="1.25"/>
    <n v="290"/>
    <n v="362.5"/>
    <s v="Dispiasa"/>
    <n v="256"/>
    <m/>
    <n v="320"/>
    <n v="42.5"/>
  </r>
  <r>
    <n v="333"/>
    <x v="15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334"/>
    <x v="15"/>
    <s v="noviembre"/>
    <x v="9"/>
    <s v="CRFD"/>
    <s v="Repello Fino Drytec"/>
    <n v="1"/>
    <n v="250"/>
    <n v="250"/>
    <s v="Comasa"/>
    <n v="236"/>
    <m/>
    <n v="236"/>
    <n v="14"/>
  </r>
  <r>
    <n v="335"/>
    <x v="15"/>
    <s v="noviembre"/>
    <x v="12"/>
    <s v="CLRA001"/>
    <s v="Romance Azul"/>
    <n v="5"/>
    <n v="75"/>
    <n v="375"/>
    <s v="Comasa"/>
    <n v="54"/>
    <m/>
    <n v="270"/>
    <n v="105"/>
  </r>
  <r>
    <n v="336"/>
    <x v="15"/>
    <s v="noviembre"/>
    <x v="1"/>
    <s v="MCMR001"/>
    <s v="Mosaico Rosa"/>
    <n v="2"/>
    <n v="300"/>
    <n v="600"/>
    <s v="Dispiasa"/>
    <n v="268"/>
    <m/>
    <n v="536"/>
    <n v="64"/>
  </r>
  <r>
    <n v="337"/>
    <x v="15"/>
    <s v="noviembre"/>
    <x v="0"/>
    <s v="APPK001"/>
    <s v="Plasterbond Klebe"/>
    <n v="0.5"/>
    <n v="100"/>
    <n v="50"/>
    <s v="Aginsa"/>
    <n v="80"/>
    <m/>
    <n v="40"/>
    <n v="10"/>
  </r>
  <r>
    <n v="338"/>
    <x v="15"/>
    <s v="noviembre"/>
    <x v="13"/>
    <s v="MFAR001"/>
    <s v="Alabastro Rodeno"/>
    <n v="10"/>
    <n v="420"/>
    <n v="4200"/>
    <s v="Dispiasa"/>
    <n v="332"/>
    <m/>
    <n v="3320"/>
    <n v="880"/>
  </r>
  <r>
    <n v="339"/>
    <x v="15"/>
    <s v="noviembre"/>
    <x v="1"/>
    <s v="CCMDC001"/>
    <s v="Madera Dinizia Claro"/>
    <n v="11"/>
    <n v="240"/>
    <n v="2640"/>
    <s v="Comasa"/>
    <n v="212"/>
    <m/>
    <n v="2332"/>
    <n v="308"/>
  </r>
  <r>
    <n v="340"/>
    <x v="15"/>
    <s v="noviembre"/>
    <x v="4"/>
    <s v="MBDBP"/>
    <s v="Diamond Bond Plus"/>
    <n v="2"/>
    <n v="120"/>
    <n v="240"/>
    <s v="Martinez"/>
    <n v="34"/>
    <m/>
    <n v="68"/>
    <n v="172"/>
  </r>
  <r>
    <n v="341"/>
    <x v="15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342"/>
    <x v="15"/>
    <s v="noviembre"/>
    <x v="5"/>
    <s v="SS004"/>
    <s v="Separadores de 4 mm"/>
    <n v="1"/>
    <n v="35"/>
    <n v="35"/>
    <s v="Silco"/>
    <n v="22"/>
    <m/>
    <n v="22"/>
    <n v="13"/>
  </r>
  <r>
    <n v="343"/>
    <x v="16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344"/>
    <x v="16"/>
    <s v="noviembre"/>
    <x v="1"/>
    <s v="MCNM001"/>
    <s v="Natal Marrón"/>
    <n v="29"/>
    <n v="240"/>
    <n v="6960"/>
    <s v="Dispiasa"/>
    <n v="207"/>
    <m/>
    <n v="6003"/>
    <n v="957"/>
  </r>
  <r>
    <n v="345"/>
    <x v="16"/>
    <s v="noviembre"/>
    <x v="4"/>
    <s v="MBDBP"/>
    <s v="Diamond Bond Plus"/>
    <n v="10"/>
    <n v="120"/>
    <n v="1200"/>
    <s v="Martinez"/>
    <n v="34"/>
    <m/>
    <n v="340"/>
    <n v="860"/>
  </r>
  <r>
    <n v="346"/>
    <x v="16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347"/>
    <x v="16"/>
    <s v="noviembre"/>
    <x v="5"/>
    <s v="SS005"/>
    <s v="Separadores de 5 mm"/>
    <n v="2"/>
    <n v="35"/>
    <n v="70"/>
    <s v="Silco"/>
    <n v="22"/>
    <m/>
    <n v="44"/>
    <n v="26"/>
  </r>
  <r>
    <n v="348"/>
    <x v="16"/>
    <s v="noviembre"/>
    <x v="0"/>
    <s v="APPK001"/>
    <s v="Plasterbond Klebe"/>
    <n v="3.2"/>
    <n v="100"/>
    <n v="320"/>
    <s v="Aginsa"/>
    <n v="80"/>
    <m/>
    <n v="256"/>
    <n v="64"/>
  </r>
  <r>
    <n v="349"/>
    <x v="16"/>
    <s v="noviembre"/>
    <x v="1"/>
    <s v="CCMC001"/>
    <s v="Madera Cedro"/>
    <n v="4"/>
    <n v="280"/>
    <n v="1120"/>
    <s v="Comasa"/>
    <n v="236"/>
    <m/>
    <n v="944"/>
    <n v="176"/>
  </r>
  <r>
    <n v="350"/>
    <x v="16"/>
    <s v="noviembre"/>
    <x v="4"/>
    <s v="MBDBP"/>
    <s v="Diamond Bond Plus"/>
    <n v="12"/>
    <n v="120"/>
    <n v="1440"/>
    <s v="Martinez"/>
    <n v="34"/>
    <m/>
    <n v="408"/>
    <n v="1032"/>
  </r>
  <r>
    <n v="351"/>
    <x v="16"/>
    <s v="noviembre"/>
    <x v="1"/>
    <s v="MCNM001"/>
    <s v="Natal Marrón"/>
    <n v="26"/>
    <n v="240"/>
    <n v="6240"/>
    <s v="Dispiasa"/>
    <n v="207"/>
    <m/>
    <n v="5382"/>
    <n v="858"/>
  </r>
  <r>
    <n v="352"/>
    <x v="16"/>
    <s v="noviembre"/>
    <x v="0"/>
    <s v="APPK001"/>
    <s v="Plasterbond Klebe"/>
    <n v="2"/>
    <n v="100"/>
    <n v="200"/>
    <s v="Aginsa"/>
    <n v="80"/>
    <m/>
    <n v="160"/>
    <n v="40"/>
  </r>
  <r>
    <n v="353"/>
    <x v="16"/>
    <s v="noviembre"/>
    <x v="6"/>
    <s v="MPPM"/>
    <s v="Porcelana Maya "/>
    <n v="4"/>
    <n v="60"/>
    <n v="240"/>
    <s v="Martinez"/>
    <n v="33.333333333333336"/>
    <m/>
    <n v="133.33333333333334"/>
    <n v="106.66666666666666"/>
  </r>
  <r>
    <n v="354"/>
    <x v="16"/>
    <s v="noviembre"/>
    <x v="14"/>
    <s v="ROAM001"/>
    <s v="Ácido Muriático"/>
    <n v="3"/>
    <n v="60"/>
    <n v="180"/>
    <s v="Rodriguez"/>
    <n v="50.5"/>
    <m/>
    <n v="151.5"/>
    <n v="28.5"/>
  </r>
  <r>
    <n v="355"/>
    <x v="16"/>
    <s v="noviembre"/>
    <x v="1"/>
    <s v="HCPIPW58"/>
    <s v="Piso Incenor Plain White 58x58"/>
    <n v="6.5"/>
    <n v="255"/>
    <n v="1657.5"/>
    <s v="Halcón"/>
    <n v="225"/>
    <m/>
    <n v="1462.5"/>
    <n v="195"/>
  </r>
  <r>
    <n v="356"/>
    <x v="16"/>
    <s v="noviembre"/>
    <x v="6"/>
    <s v="MPPM"/>
    <s v="Porcelana Maya "/>
    <n v="1"/>
    <n v="60"/>
    <n v="60"/>
    <s v="Martinez"/>
    <n v="33.333333333333336"/>
    <m/>
    <n v="33.333333333333336"/>
    <n v="26.666666666666664"/>
  </r>
  <r>
    <n v="358"/>
    <x v="16"/>
    <s v="noviembre"/>
    <x v="1"/>
    <s v="HCPIPW58"/>
    <s v="Piso Incenor Plain White 58x58"/>
    <n v="56"/>
    <n v="250"/>
    <n v="14000"/>
    <s v="Halcón"/>
    <n v="225"/>
    <m/>
    <n v="12600"/>
    <n v="1400"/>
  </r>
  <r>
    <n v="359"/>
    <x v="16"/>
    <s v="noviembre"/>
    <x v="5"/>
    <s v="SS003"/>
    <s v="Separadores de 3 mm"/>
    <n v="1"/>
    <n v="35"/>
    <n v="35"/>
    <s v="Silco"/>
    <n v="26"/>
    <m/>
    <n v="26"/>
    <n v="9"/>
  </r>
  <r>
    <n v="360"/>
    <x v="17"/>
    <s v="noviembre"/>
    <x v="4"/>
    <s v="CBDBP001"/>
    <s v="Drytec Bond Plus"/>
    <n v="20"/>
    <n v="150"/>
    <n v="3000"/>
    <s v="Comasa"/>
    <n v="127"/>
    <m/>
    <n v="2540"/>
    <n v="460"/>
  </r>
  <r>
    <n v="361"/>
    <x v="17"/>
    <s v="noviembre"/>
    <x v="6"/>
    <s v="MPPM"/>
    <s v="Porcelana Maya "/>
    <n v="2"/>
    <n v="60"/>
    <n v="120"/>
    <s v="Martinez"/>
    <n v="33.333333333333336"/>
    <m/>
    <n v="66.666666666666671"/>
    <n v="53.333333333333329"/>
  </r>
  <r>
    <n v="362"/>
    <x v="17"/>
    <s v="noviembre"/>
    <x v="1"/>
    <s v="MCNM001"/>
    <s v="Natal Marrón"/>
    <n v="18"/>
    <n v="240"/>
    <n v="4320"/>
    <s v="Dispiasa"/>
    <n v="207"/>
    <m/>
    <n v="3726"/>
    <n v="594"/>
  </r>
  <r>
    <n v="363"/>
    <x v="17"/>
    <s v="noviembre"/>
    <x v="6"/>
    <s v="MPPM"/>
    <s v="Porcelana Maya "/>
    <n v="3"/>
    <n v="60"/>
    <n v="180"/>
    <s v="Martinez"/>
    <n v="33.333333333333336"/>
    <m/>
    <n v="100"/>
    <n v="80"/>
  </r>
  <r>
    <n v="364"/>
    <x v="17"/>
    <s v="noviembre"/>
    <x v="1"/>
    <s v="MCBM033"/>
    <s v="Belén Marrón"/>
    <n v="13.55"/>
    <n v="295"/>
    <n v="3997.25"/>
    <s v="Dispiasa"/>
    <n v="268"/>
    <m/>
    <n v="3631.4"/>
    <n v="365.84999999999991"/>
  </r>
  <r>
    <n v="365"/>
    <x v="17"/>
    <s v="noviembre"/>
    <x v="4"/>
    <s v="CBDBP001"/>
    <s v="Drytec Bond Plus"/>
    <n v="2"/>
    <n v="155"/>
    <n v="310"/>
    <s v="Comasa"/>
    <n v="127"/>
    <m/>
    <n v="254"/>
    <n v="56"/>
  </r>
  <r>
    <n v="366"/>
    <x v="17"/>
    <s v="noviembre"/>
    <x v="2"/>
    <s v="MAPB001"/>
    <s v="Palmira Beige Liso"/>
    <n v="12"/>
    <n v="295"/>
    <n v="3540"/>
    <s v="Dispiasa"/>
    <n v="268"/>
    <m/>
    <n v="3216"/>
    <n v="324"/>
  </r>
  <r>
    <n v="367"/>
    <x v="17"/>
    <s v="noviembre"/>
    <x v="1"/>
    <s v="MCEB001"/>
    <s v="Ebro Beige"/>
    <n v="2.66"/>
    <n v="295"/>
    <n v="784.7"/>
    <s v="Dispiasa"/>
    <n v="268"/>
    <m/>
    <n v="712.88"/>
    <n v="71.82000000000005"/>
  </r>
  <r>
    <n v="368"/>
    <x v="17"/>
    <s v="noviembre"/>
    <x v="4"/>
    <s v="CBDBP001"/>
    <s v="Drytec Bond Plus"/>
    <n v="3"/>
    <n v="155"/>
    <n v="465"/>
    <s v="Comasa"/>
    <n v="127"/>
    <m/>
    <n v="381"/>
    <n v="84"/>
  </r>
  <r>
    <n v="369"/>
    <x v="17"/>
    <s v="noviembre"/>
    <x v="6"/>
    <s v="MPPM"/>
    <s v="Porcelana Maya "/>
    <n v="4"/>
    <n v="60"/>
    <n v="240"/>
    <s v="Martinez"/>
    <n v="33.333333333333336"/>
    <m/>
    <n v="133.33333333333334"/>
    <n v="106.66666666666666"/>
  </r>
  <r>
    <n v="370"/>
    <x v="17"/>
    <s v="noviembre"/>
    <x v="7"/>
    <s v="MIA001"/>
    <s v="Inodoro Aqua Blanco"/>
    <n v="1"/>
    <n v="1650"/>
    <n v="1650"/>
    <s v="Dispiasa"/>
    <n v="1440"/>
    <m/>
    <n v="1440"/>
    <n v="210"/>
  </r>
  <r>
    <n v="371"/>
    <x v="17"/>
    <s v="noviembre"/>
    <x v="7"/>
    <s v="MIA001"/>
    <s v="Inodoro Aqua Blanco"/>
    <n v="1"/>
    <n v="1650"/>
    <n v="1650"/>
    <s v="Dispiasa"/>
    <n v="1440"/>
    <m/>
    <n v="1440"/>
    <n v="210"/>
  </r>
  <r>
    <n v="372"/>
    <x v="17"/>
    <s v="noviembre"/>
    <x v="7"/>
    <s v="SILP"/>
    <s v="Llave de pase de Inodoro"/>
    <n v="1"/>
    <n v="95"/>
    <n v="95"/>
    <s v="Silco"/>
    <n v="0"/>
    <m/>
    <s v=""/>
    <s v=""/>
  </r>
  <r>
    <n v="373"/>
    <x v="17"/>
    <s v="noviembre"/>
    <x v="1"/>
    <s v="HCPIPW58"/>
    <s v="Piso Incenor Plain White 58x58"/>
    <n v="29"/>
    <n v="255"/>
    <n v="7395"/>
    <s v="Halcón"/>
    <n v="225"/>
    <m/>
    <n v="6525"/>
    <n v="870"/>
  </r>
  <r>
    <n v="374"/>
    <x v="17"/>
    <s v="noviembre"/>
    <x v="4"/>
    <s v="CBDBP001"/>
    <s v="Drytec Bond Plus"/>
    <n v="5"/>
    <n v="150"/>
    <n v="750"/>
    <s v="Comasa"/>
    <n v="127"/>
    <m/>
    <n v="635"/>
    <n v="115"/>
  </r>
  <r>
    <n v="375"/>
    <x v="17"/>
    <s v="noviembre"/>
    <x v="0"/>
    <s v="APPK001"/>
    <s v="Plasterbond Klebe"/>
    <n v="3.2"/>
    <n v="100"/>
    <n v="320"/>
    <s v="Aginsa"/>
    <n v="80"/>
    <m/>
    <n v="256"/>
    <n v="64"/>
  </r>
  <r>
    <n v="376"/>
    <x v="17"/>
    <s v="noviembre"/>
    <x v="4"/>
    <s v="CBDBP001"/>
    <s v="Drytec Bond Plus"/>
    <n v="7"/>
    <n v="155"/>
    <n v="1085"/>
    <s v="Comasa"/>
    <n v="127"/>
    <m/>
    <n v="889"/>
    <n v="196"/>
  </r>
  <r>
    <n v="377"/>
    <x v="17"/>
    <s v="noviembre"/>
    <x v="6"/>
    <s v="MPPM"/>
    <s v="Porcelana Maya "/>
    <n v="4"/>
    <n v="60"/>
    <n v="240"/>
    <s v="Martinez"/>
    <n v="33.333333333333336"/>
    <m/>
    <n v="133.33333333333334"/>
    <n v="106.66666666666666"/>
  </r>
  <r>
    <n v="378"/>
    <x v="17"/>
    <s v="noviembre"/>
    <x v="1"/>
    <s v="CCBB001"/>
    <s v="Babilonia Blanco"/>
    <n v="18"/>
    <n v="240"/>
    <n v="4320"/>
    <s v="Comasa"/>
    <n v="216.82"/>
    <m/>
    <n v="3902.7599999999998"/>
    <n v="417.24000000000024"/>
  </r>
  <r>
    <n v="379"/>
    <x v="17"/>
    <s v="noviembre"/>
    <x v="5"/>
    <s v="SS004"/>
    <s v="Separadores de 4 mm"/>
    <n v="2"/>
    <n v="35"/>
    <n v="70"/>
    <s v="Silco"/>
    <n v="22"/>
    <m/>
    <n v="44"/>
    <n v="26"/>
  </r>
  <r>
    <n v="380"/>
    <x v="17"/>
    <s v="noviembre"/>
    <x v="0"/>
    <s v="APPK001"/>
    <s v="Plasterbond Klebe"/>
    <n v="3.2"/>
    <n v="100"/>
    <n v="320"/>
    <s v="Aginsa"/>
    <n v="80"/>
    <m/>
    <n v="256"/>
    <n v="64"/>
  </r>
  <r>
    <n v="381"/>
    <x v="17"/>
    <s v="noviembre"/>
    <x v="1"/>
    <s v="MCNM001"/>
    <s v="Natal Marrón"/>
    <n v="12"/>
    <n v="240"/>
    <n v="2880"/>
    <s v="Dispiasa"/>
    <n v="207"/>
    <m/>
    <n v="2484"/>
    <n v="396"/>
  </r>
  <r>
    <n v="382"/>
    <x v="17"/>
    <s v="noviembre"/>
    <x v="2"/>
    <s v="MABAL001"/>
    <s v="Baleares Azul Liso"/>
    <n v="4"/>
    <n v="300"/>
    <n v="1200"/>
    <s v="Dispiasa"/>
    <n v="268"/>
    <m/>
    <n v="1072"/>
    <n v="128"/>
  </r>
  <r>
    <n v="383"/>
    <x v="17"/>
    <s v="noviembre"/>
    <x v="4"/>
    <s v="CBDBP001"/>
    <s v="Drytec Bond Plus"/>
    <n v="13"/>
    <n v="155"/>
    <n v="2015"/>
    <s v="Comasa"/>
    <n v="127"/>
    <m/>
    <n v="1651"/>
    <n v="364"/>
  </r>
  <r>
    <n v="384"/>
    <x v="17"/>
    <s v="noviembre"/>
    <x v="6"/>
    <s v="MPPM"/>
    <s v="Porcelana Maya "/>
    <n v="7"/>
    <n v="60"/>
    <n v="420"/>
    <s v="Martinez"/>
    <n v="33.333333333333336"/>
    <m/>
    <n v="233.33333333333334"/>
    <n v="186.66666666666666"/>
  </r>
  <r>
    <n v="385"/>
    <x v="17"/>
    <s v="noviembre"/>
    <x v="5"/>
    <s v="SS003"/>
    <s v="Separadores de 3 mm"/>
    <n v="1"/>
    <n v="35"/>
    <n v="35"/>
    <s v="Silco"/>
    <n v="26"/>
    <m/>
    <n v="26"/>
    <n v="9"/>
  </r>
  <r>
    <n v="386"/>
    <x v="17"/>
    <s v="noviembre"/>
    <x v="1"/>
    <s v="MC822R001"/>
    <s v="822 Roble"/>
    <n v="1"/>
    <n v="240"/>
    <n v="240"/>
    <s v="Dispiasa"/>
    <n v="207"/>
    <m/>
    <n v="207"/>
    <n v="33"/>
  </r>
  <r>
    <n v="387"/>
    <x v="17"/>
    <s v="noviembre"/>
    <x v="1"/>
    <s v="HCPIPW58"/>
    <s v="Piso Incenor Plain White 58x58"/>
    <n v="7"/>
    <n v="255"/>
    <n v="1785"/>
    <s v="Halcón"/>
    <n v="225"/>
    <m/>
    <n v="1575"/>
    <n v="210"/>
  </r>
  <r>
    <n v="388"/>
    <x v="17"/>
    <s v="noviembre"/>
    <x v="1"/>
    <s v="CCBB001"/>
    <s v="Babilonia Blanco"/>
    <n v="3"/>
    <n v="240"/>
    <n v="720"/>
    <s v="Comasa"/>
    <n v="216.82"/>
    <m/>
    <n v="650.46"/>
    <n v="69.539999999999964"/>
  </r>
  <r>
    <n v="389"/>
    <x v="17"/>
    <s v="noviembre"/>
    <x v="1"/>
    <s v="MCNM001"/>
    <s v="Natal Marrón"/>
    <n v="0.4"/>
    <n v="240"/>
    <n v="96"/>
    <s v="Dispiasa"/>
    <n v="207"/>
    <m/>
    <n v="82.800000000000011"/>
    <n v="13.199999999999989"/>
  </r>
  <r>
    <n v="390"/>
    <x v="17"/>
    <s v="noviembre"/>
    <x v="1"/>
    <s v="CCMDO001"/>
    <s v="Madera Dinizia Oscuro"/>
    <n v="8"/>
    <n v="240"/>
    <n v="1920"/>
    <s v="Comasa"/>
    <n v="212"/>
    <m/>
    <n v="1696"/>
    <n v="224"/>
  </r>
  <r>
    <n v="391"/>
    <x v="17"/>
    <s v="noviembre"/>
    <x v="5"/>
    <s v="SS003"/>
    <s v="Separadores de 3 mm"/>
    <n v="1"/>
    <n v="35"/>
    <n v="35"/>
    <s v="Silco"/>
    <n v="26"/>
    <m/>
    <n v="26"/>
    <n v="9"/>
  </r>
  <r>
    <n v="392"/>
    <x v="17"/>
    <s v="noviembre"/>
    <x v="1"/>
    <s v="CCBB001"/>
    <s v="Babilonia Blanco"/>
    <n v="9.5"/>
    <n v="240"/>
    <n v="2280"/>
    <s v="Comasa"/>
    <n v="216.82"/>
    <m/>
    <n v="2059.79"/>
    <n v="220.21000000000004"/>
  </r>
  <r>
    <n v="1"/>
    <x v="18"/>
    <s v="diciembre"/>
    <x v="1"/>
    <s v="MCPN001"/>
    <s v="Palestina negro"/>
    <n v="1"/>
    <n v="300"/>
    <n v="300"/>
    <s v="Dispiasa"/>
    <n v="268"/>
    <m/>
    <n v="268"/>
    <n v="32"/>
  </r>
  <r>
    <n v="2"/>
    <x v="18"/>
    <s v="diciembre"/>
    <x v="7"/>
    <s v="MIERV001"/>
    <s v="Inodoro Ecoline Rojo Vino"/>
    <n v="1"/>
    <n v="1950"/>
    <n v="1950"/>
    <s v="Dispiasa"/>
    <n v="1707"/>
    <m/>
    <n v="1707"/>
    <n v="243"/>
  </r>
  <r>
    <n v="3"/>
    <x v="18"/>
    <s v="diciembre"/>
    <x v="1"/>
    <s v="CCCG034"/>
    <s v="Calzada Gris"/>
    <n v="25"/>
    <n v="250"/>
    <n v="6250"/>
    <s v="Comasa"/>
    <n v="232.64"/>
    <m/>
    <n v="5816"/>
    <n v="434"/>
  </r>
  <r>
    <n v="4"/>
    <x v="18"/>
    <s v="diciembre"/>
    <x v="14"/>
    <s v="OOA001"/>
    <s v="Avería"/>
    <n v="1"/>
    <n v="80"/>
    <n v="80"/>
    <s v="Otro"/>
    <n v="0"/>
    <m/>
    <s v=""/>
    <s v=""/>
  </r>
  <r>
    <n v="5"/>
    <x v="18"/>
    <s v="diciembre"/>
    <x v="1"/>
    <s v="CCBB001"/>
    <s v="Babilonia Blanco"/>
    <n v="5"/>
    <n v="240"/>
    <n v="1200"/>
    <s v="Comasa"/>
    <n v="216.82"/>
    <m/>
    <n v="1084.0999999999999"/>
    <n v="115.90000000000009"/>
  </r>
  <r>
    <n v="6"/>
    <x v="18"/>
    <s v="diciembre"/>
    <x v="4"/>
    <s v="CBBPD"/>
    <s v="Bond Porcelanato Drytec"/>
    <n v="10"/>
    <n v="250"/>
    <n v="2500"/>
    <s v="Comasa"/>
    <n v="190"/>
    <m/>
    <n v="1900"/>
    <n v="600"/>
  </r>
  <r>
    <n v="7"/>
    <x v="18"/>
    <s v="diciembre"/>
    <x v="0"/>
    <s v="APPK001"/>
    <s v="Plasterbond Klebe"/>
    <n v="1"/>
    <n v="100"/>
    <n v="100"/>
    <s v="Aginsa"/>
    <n v="80"/>
    <m/>
    <n v="80"/>
    <n v="20"/>
  </r>
  <r>
    <n v="8"/>
    <x v="18"/>
    <s v="diciembre"/>
    <x v="1"/>
    <s v="CCCG034"/>
    <s v="Calzada Gris"/>
    <n v="1.075"/>
    <n v="250"/>
    <n v="268.75"/>
    <s v="Comasa"/>
    <n v="232.64"/>
    <m/>
    <n v="250.08799999999997"/>
    <n v="18.662000000000035"/>
  </r>
  <r>
    <n v="9"/>
    <x v="18"/>
    <s v="diciembre"/>
    <x v="2"/>
    <s v="MALVL001"/>
    <s v="Lisboa Verde Liso"/>
    <n v="0.33333333333333331"/>
    <n v="300"/>
    <n v="100"/>
    <s v="Dispiasa"/>
    <n v="268"/>
    <m/>
    <n v="89.333333333333329"/>
    <n v="10.666666666666671"/>
  </r>
  <r>
    <n v="10"/>
    <x v="19"/>
    <s v="diciembre"/>
    <x v="4"/>
    <s v="CBDBP001"/>
    <s v="Drytec Bond Plus"/>
    <n v="1"/>
    <n v="155"/>
    <n v="155"/>
    <s v="Comasa"/>
    <n v="127"/>
    <m/>
    <n v="127"/>
    <n v="28"/>
  </r>
  <r>
    <n v="11"/>
    <x v="19"/>
    <s v="diciembre"/>
    <x v="1"/>
    <s v="MCAB001"/>
    <s v="Alaska Blanco"/>
    <n v="0.3"/>
    <n v="300"/>
    <n v="90"/>
    <s v="Dispiasa"/>
    <n v="253"/>
    <m/>
    <n v="75.899999999999991"/>
    <n v="14.100000000000009"/>
  </r>
  <r>
    <n v="12"/>
    <x v="19"/>
    <s v="diciembre"/>
    <x v="1"/>
    <s v="MCZM001"/>
    <s v="Zacatepec Marrón"/>
    <n v="0.4"/>
    <n v="250"/>
    <n v="100"/>
    <s v="Dispiasa"/>
    <n v="219"/>
    <m/>
    <n v="87.600000000000009"/>
    <n v="12.399999999999991"/>
  </r>
  <r>
    <n v="13"/>
    <x v="19"/>
    <s v="diciembre"/>
    <x v="6"/>
    <s v="MPPM"/>
    <s v="Porcelana Maya "/>
    <n v="5"/>
    <n v="60"/>
    <n v="300"/>
    <s v="Martinez"/>
    <n v="33.333333333333336"/>
    <m/>
    <n v="166.66666666666669"/>
    <n v="133.33333333333331"/>
  </r>
  <r>
    <n v="14"/>
    <x v="19"/>
    <s v="diciembre"/>
    <x v="5"/>
    <s v="SS005"/>
    <s v="Separadores de 5 mm"/>
    <n v="1"/>
    <n v="35"/>
    <n v="35"/>
    <s v="Silco"/>
    <n v="22"/>
    <m/>
    <n v="22"/>
    <n v="13"/>
  </r>
  <r>
    <n v="15"/>
    <x v="19"/>
    <s v="diciembre"/>
    <x v="1"/>
    <s v="MCNO001"/>
    <s v="Nogal Oscuro"/>
    <n v="17"/>
    <n v="295"/>
    <n v="5015"/>
    <s v="Dispiasa"/>
    <n v="268"/>
    <m/>
    <n v="4556"/>
    <n v="459"/>
  </r>
  <r>
    <n v="16"/>
    <x v="19"/>
    <s v="diciembre"/>
    <x v="4"/>
    <s v="CBDBP001"/>
    <s v="Drytec Bond Plus"/>
    <n v="2"/>
    <n v="155"/>
    <n v="310"/>
    <s v="Comasa"/>
    <n v="127"/>
    <m/>
    <n v="254"/>
    <n v="56"/>
  </r>
  <r>
    <n v="17"/>
    <x v="19"/>
    <s v="diciembre"/>
    <x v="1"/>
    <s v="MC822R001"/>
    <s v="822 Roble"/>
    <n v="2.5"/>
    <n v="240"/>
    <n v="600"/>
    <s v="Dispiasa"/>
    <n v="207"/>
    <m/>
    <n v="517.5"/>
    <n v="82.5"/>
  </r>
  <r>
    <n v="18"/>
    <x v="19"/>
    <s v="diciembre"/>
    <x v="4"/>
    <s v="CBDBP001"/>
    <s v="Drytec Bond Plus"/>
    <n v="2"/>
    <n v="155"/>
    <n v="310"/>
    <s v="Comasa"/>
    <n v="127"/>
    <m/>
    <n v="254"/>
    <n v="56"/>
  </r>
  <r>
    <n v="19"/>
    <x v="19"/>
    <s v="diciembre"/>
    <x v="14"/>
    <s v="ROE001"/>
    <s v="Esponja"/>
    <n v="1"/>
    <n v="35"/>
    <n v="35"/>
    <s v="Rodriguez"/>
    <n v="25"/>
    <m/>
    <n v="25"/>
    <n v="10"/>
  </r>
  <r>
    <n v="20"/>
    <x v="19"/>
    <s v="diciembre"/>
    <x v="13"/>
    <s v="MFAR001"/>
    <s v="Alabastro Rodeno"/>
    <n v="8"/>
    <n v="420"/>
    <n v="3360"/>
    <s v="Dispiasa"/>
    <n v="332"/>
    <m/>
    <n v="2656"/>
    <n v="704"/>
  </r>
  <r>
    <n v="21"/>
    <x v="20"/>
    <s v="diciembre"/>
    <x v="10"/>
    <s v="MIBL3"/>
    <s v="Bujía Led 3B 3w"/>
    <n v="2"/>
    <n v="25"/>
    <n v="50"/>
    <s v="Magaña"/>
    <n v="0"/>
    <m/>
    <s v=""/>
    <s v=""/>
  </r>
  <r>
    <n v="22"/>
    <x v="20"/>
    <s v="diciembre"/>
    <x v="2"/>
    <s v="MAPAL001"/>
    <s v="Palenque Azul Liso"/>
    <n v="0.125"/>
    <n v="290"/>
    <n v="36.25"/>
    <s v="Dispiasa"/>
    <n v="256"/>
    <m/>
    <n v="32"/>
    <n v="4.25"/>
  </r>
  <r>
    <n v="23"/>
    <x v="20"/>
    <s v="diciembre"/>
    <x v="1"/>
    <s v="MCEB001"/>
    <s v="Ebro Beige"/>
    <n v="0.22222222222222221"/>
    <n v="300"/>
    <n v="66.666666666666657"/>
    <s v="Dispiasa"/>
    <n v="268"/>
    <m/>
    <n v="59.55555555555555"/>
    <n v="7.1111111111111072"/>
  </r>
  <r>
    <n v="24"/>
    <x v="20"/>
    <s v="diciembre"/>
    <x v="4"/>
    <s v="MBDBP"/>
    <s v="Diamond Bond Plus"/>
    <n v="1"/>
    <n v="120"/>
    <n v="120"/>
    <s v="Martinez"/>
    <n v="34"/>
    <m/>
    <n v="34"/>
    <n v="86"/>
  </r>
  <r>
    <n v="25"/>
    <x v="20"/>
    <s v="diciembre"/>
    <x v="1"/>
    <s v="CCML001"/>
    <s v="Madera Lacewood"/>
    <n v="4"/>
    <n v="240"/>
    <n v="960"/>
    <s v="Comasa"/>
    <n v="205"/>
    <m/>
    <n v="820"/>
    <n v="140"/>
  </r>
  <r>
    <n v="26"/>
    <x v="20"/>
    <s v="diciembre"/>
    <x v="7"/>
    <s v="MIAREB001"/>
    <s v="Asiento Redondo Ecoline Blanco"/>
    <n v="1"/>
    <n v="400"/>
    <n v="400"/>
    <s v="Dispiasa"/>
    <n v="311"/>
    <m/>
    <n v="311"/>
    <n v="89"/>
  </r>
  <r>
    <n v="27"/>
    <x v="20"/>
    <s v="diciembre"/>
    <x v="1"/>
    <s v="CCBB001"/>
    <s v="Babilonia Blanco"/>
    <n v="0.33333333333333331"/>
    <n v="300"/>
    <n v="100"/>
    <s v="Comasa"/>
    <n v="216.82"/>
    <m/>
    <n v="72.273333333333326"/>
    <n v="27.726666666666674"/>
  </r>
  <r>
    <n v="28"/>
    <x v="20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29"/>
    <x v="20"/>
    <s v="diciembre"/>
    <x v="4"/>
    <s v="CBDBP001"/>
    <s v="Drytec Bond Plus"/>
    <n v="4"/>
    <n v="155"/>
    <n v="620"/>
    <s v="Comasa"/>
    <n v="127"/>
    <m/>
    <n v="508"/>
    <n v="112"/>
  </r>
  <r>
    <n v="30"/>
    <x v="20"/>
    <s v="diciembre"/>
    <x v="6"/>
    <s v="MPPM"/>
    <s v="Porcelana Maya "/>
    <n v="2"/>
    <n v="60"/>
    <n v="120"/>
    <s v="Martinez"/>
    <n v="33.333333333333336"/>
    <m/>
    <n v="66.666666666666671"/>
    <n v="53.333333333333329"/>
  </r>
  <r>
    <n v="31"/>
    <x v="20"/>
    <s v="diciembre"/>
    <x v="4"/>
    <s v="CBDBP001"/>
    <s v="Drytec Bond Plus"/>
    <n v="1"/>
    <n v="155"/>
    <n v="155"/>
    <s v="Comasa"/>
    <n v="127"/>
    <m/>
    <n v="127"/>
    <n v="28"/>
  </r>
  <r>
    <n v="32"/>
    <x v="20"/>
    <s v="diciembre"/>
    <x v="1"/>
    <s v="MCAB045"/>
    <s v="Amazonas Beige"/>
    <n v="0.61224489795918358"/>
    <n v="360"/>
    <n v="220.40816326530609"/>
    <s v="Dispiasa"/>
    <n v="306"/>
    <m/>
    <n v="187.34693877551018"/>
    <n v="33.061224489795904"/>
  </r>
  <r>
    <n v="33"/>
    <x v="20"/>
    <s v="diciembre"/>
    <x v="0"/>
    <s v="APPK001"/>
    <s v="Plasterbond Klebe"/>
    <n v="1"/>
    <n v="100"/>
    <n v="100"/>
    <s v="Aginsa"/>
    <n v="80"/>
    <m/>
    <n v="80"/>
    <n v="20"/>
  </r>
  <r>
    <n v="34"/>
    <x v="20"/>
    <s v="diciembre"/>
    <x v="4"/>
    <s v="CBDBP001"/>
    <s v="Drytec Bond Plus"/>
    <n v="22"/>
    <n v="155"/>
    <n v="3410"/>
    <s v="Comasa"/>
    <n v="127"/>
    <m/>
    <n v="2794"/>
    <n v="616"/>
  </r>
  <r>
    <n v="35"/>
    <x v="20"/>
    <s v="diciembre"/>
    <x v="5"/>
    <s v="SS004"/>
    <s v="Separadores de 4 mm"/>
    <n v="1"/>
    <n v="35"/>
    <n v="35"/>
    <s v="Silco"/>
    <n v="22"/>
    <m/>
    <n v="22"/>
    <n v="13"/>
  </r>
  <r>
    <n v="36"/>
    <x v="20"/>
    <s v="diciembre"/>
    <x v="6"/>
    <s v="MPPM"/>
    <s v="Porcelana Maya "/>
    <n v="4"/>
    <n v="60"/>
    <n v="240"/>
    <s v="Martinez"/>
    <n v="33.333333333333336"/>
    <m/>
    <n v="133.33333333333334"/>
    <n v="106.66666666666666"/>
  </r>
  <r>
    <n v="37"/>
    <x v="20"/>
    <s v="diciembre"/>
    <x v="0"/>
    <s v="APPK001"/>
    <s v="Plasterbond Klebe"/>
    <n v="1.2"/>
    <n v="100"/>
    <n v="120"/>
    <s v="Aginsa"/>
    <n v="80"/>
    <m/>
    <n v="96"/>
    <n v="24"/>
  </r>
  <r>
    <n v="38"/>
    <x v="20"/>
    <s v="diciembre"/>
    <x v="6"/>
    <s v="MPPM"/>
    <s v="Porcelana Maya "/>
    <n v="8"/>
    <n v="60"/>
    <n v="480"/>
    <s v="Martinez"/>
    <n v="33.333333333333336"/>
    <m/>
    <n v="266.66666666666669"/>
    <n v="213.33333333333331"/>
  </r>
  <r>
    <n v="39"/>
    <x v="20"/>
    <s v="diciembre"/>
    <x v="11"/>
    <s v="SBAB001"/>
    <s v="Accesorios de baño"/>
    <n v="1"/>
    <n v="275"/>
    <n v="275"/>
    <s v="Silco"/>
    <n v="190"/>
    <m/>
    <n v="190"/>
    <n v="85"/>
  </r>
  <r>
    <n v="40"/>
    <x v="20"/>
    <s v="diciembre"/>
    <x v="7"/>
    <s v="MIA001"/>
    <s v="Inodoro Aqua Blanco"/>
    <n v="1"/>
    <n v="1650"/>
    <n v="1650"/>
    <s v="Dispiasa"/>
    <n v="1440"/>
    <m/>
    <n v="1440"/>
    <n v="210"/>
  </r>
  <r>
    <n v="41"/>
    <x v="20"/>
    <s v="diciembre"/>
    <x v="3"/>
    <s v="CLBJ001"/>
    <s v="Lavamano Blanco Jazmin/ Pedestal Cato"/>
    <n v="1"/>
    <n v="2200"/>
    <n v="2200"/>
    <s v="Comasa"/>
    <n v="1275"/>
    <m/>
    <n v="1275"/>
    <n v="925"/>
  </r>
  <r>
    <n v="42"/>
    <x v="20"/>
    <s v="diciembre"/>
    <x v="1"/>
    <s v="CCMC001"/>
    <s v="Madera Cedro"/>
    <n v="28"/>
    <n v="270"/>
    <n v="7560"/>
    <s v="Comasa"/>
    <n v="236"/>
    <m/>
    <n v="6608"/>
    <n v="952"/>
  </r>
  <r>
    <n v="43"/>
    <x v="20"/>
    <s v="diciembre"/>
    <x v="4"/>
    <s v="CBDBP001"/>
    <s v="Drytec Bond Plus"/>
    <n v="4"/>
    <n v="155"/>
    <n v="620"/>
    <s v="Comasa"/>
    <n v="127"/>
    <m/>
    <n v="508"/>
    <n v="112"/>
  </r>
  <r>
    <n v="44"/>
    <x v="20"/>
    <s v="diciembre"/>
    <x v="6"/>
    <s v="MPPM"/>
    <s v="Porcelana Maya "/>
    <n v="2"/>
    <n v="60"/>
    <n v="120"/>
    <s v="Martinez"/>
    <n v="33.333333333333336"/>
    <m/>
    <n v="66.666666666666671"/>
    <n v="53.333333333333329"/>
  </r>
  <r>
    <n v="45"/>
    <x v="20"/>
    <s v="diciembre"/>
    <x v="1"/>
    <s v="MCZM001"/>
    <s v="Zacatepec Marrón"/>
    <n v="7"/>
    <n v="250"/>
    <n v="1750"/>
    <s v="Dispiasa"/>
    <n v="219"/>
    <m/>
    <n v="1533"/>
    <n v="217"/>
  </r>
  <r>
    <n v="46"/>
    <x v="20"/>
    <s v="diciembre"/>
    <x v="1"/>
    <s v="MCRGG001"/>
    <s v="Rio Gris Granilla"/>
    <n v="0.9"/>
    <n v="250"/>
    <n v="225"/>
    <s v="Dispiasa"/>
    <n v="210"/>
    <m/>
    <n v="189"/>
    <n v="36"/>
  </r>
  <r>
    <n v="47"/>
    <x v="20"/>
    <s v="diciembre"/>
    <x v="1"/>
    <s v="CCBB001"/>
    <s v="Babilonia Blanco"/>
    <n v="4"/>
    <n v="240"/>
    <n v="960"/>
    <s v="Comasa"/>
    <n v="216.82"/>
    <m/>
    <n v="867.28"/>
    <n v="92.720000000000027"/>
  </r>
  <r>
    <n v="48"/>
    <x v="20"/>
    <s v="diciembre"/>
    <x v="5"/>
    <s v="SS002"/>
    <s v="Separadores de 2 mm"/>
    <n v="1"/>
    <n v="35"/>
    <n v="35"/>
    <s v="Silco"/>
    <n v="20"/>
    <m/>
    <n v="20"/>
    <n v="15"/>
  </r>
  <r>
    <n v="49"/>
    <x v="20"/>
    <s v="diciembre"/>
    <x v="6"/>
    <s v="MPPM"/>
    <s v="Porcelana Maya "/>
    <n v="2"/>
    <n v="60"/>
    <n v="120"/>
    <s v="Martinez"/>
    <n v="33.333333333333336"/>
    <m/>
    <n v="66.666666666666671"/>
    <n v="53.333333333333329"/>
  </r>
  <r>
    <n v="50"/>
    <x v="20"/>
    <s v="diciembre"/>
    <x v="1"/>
    <s v="MCEB001"/>
    <s v="Ebro Beige"/>
    <n v="0.22222222222222221"/>
    <n v="300"/>
    <n v="66.666666666666657"/>
    <s v="Dispiasa"/>
    <n v="268"/>
    <m/>
    <n v="59.55555555555555"/>
    <n v="7.1111111111111072"/>
  </r>
  <r>
    <n v="51"/>
    <x v="21"/>
    <s v="diciembre"/>
    <x v="2"/>
    <s v="MAMV001"/>
    <s v="Marsella Visón"/>
    <n v="1.5"/>
    <n v="300"/>
    <n v="450"/>
    <s v="Dispiasa"/>
    <n v="268"/>
    <m/>
    <n v="402"/>
    <n v="48"/>
  </r>
  <r>
    <n v="52"/>
    <x v="21"/>
    <s v="diciembre"/>
    <x v="7"/>
    <s v="MIEA001"/>
    <s v="Inodoro Ecoline Azul"/>
    <n v="1"/>
    <n v="1950"/>
    <n v="1950"/>
    <s v="Dispiasa"/>
    <n v="1718"/>
    <m/>
    <n v="1718"/>
    <n v="232"/>
  </r>
  <r>
    <n v="53"/>
    <x v="21"/>
    <s v="diciembre"/>
    <x v="1"/>
    <s v="CCBB001"/>
    <s v="Babilonia Blanco"/>
    <n v="5"/>
    <n v="240"/>
    <n v="1200"/>
    <s v="Comasa"/>
    <n v="216.82"/>
    <m/>
    <n v="1084.0999999999999"/>
    <n v="115.90000000000009"/>
  </r>
  <r>
    <n v="54"/>
    <x v="21"/>
    <s v="diciembre"/>
    <x v="1"/>
    <s v="MC222B001"/>
    <s v="222 Blanco"/>
    <n v="1"/>
    <n v="240"/>
    <n v="240"/>
    <s v="Dispiasa"/>
    <n v="207"/>
    <m/>
    <n v="207"/>
    <n v="33"/>
  </r>
  <r>
    <n v="55"/>
    <x v="21"/>
    <s v="diciembre"/>
    <x v="14"/>
    <s v="ROAM001"/>
    <s v="Ácido Muriático"/>
    <n v="1"/>
    <n v="60"/>
    <n v="60"/>
    <s v="Rodriguez"/>
    <n v="50.5"/>
    <m/>
    <n v="50.5"/>
    <n v="9.5"/>
  </r>
  <r>
    <n v="56"/>
    <x v="21"/>
    <s v="diciembre"/>
    <x v="5"/>
    <s v="SS003"/>
    <s v="Separadores de 3 mm"/>
    <n v="2"/>
    <n v="35"/>
    <n v="70"/>
    <s v="Silco"/>
    <n v="26"/>
    <m/>
    <n v="52"/>
    <n v="18"/>
  </r>
  <r>
    <n v="57"/>
    <x v="21"/>
    <s v="diciembre"/>
    <x v="2"/>
    <s v="CAAPB001"/>
    <s v="Andes Plus Blanco"/>
    <n v="0.3125"/>
    <n v="300"/>
    <n v="93.75"/>
    <s v="Comasa"/>
    <n v="272"/>
    <m/>
    <n v="85"/>
    <n v="8.75"/>
  </r>
  <r>
    <n v="58"/>
    <x v="21"/>
    <s v="diciembre"/>
    <x v="1"/>
    <s v="MCNO001"/>
    <s v="Nogal Oscuro"/>
    <n v="0.77777777777777779"/>
    <n v="300"/>
    <n v="233.33333333333334"/>
    <s v="Dispiasa"/>
    <n v="268"/>
    <m/>
    <n v="208.44444444444446"/>
    <n v="24.888888888888886"/>
  </r>
  <r>
    <n v="59"/>
    <x v="21"/>
    <s v="diciembre"/>
    <x v="4"/>
    <s v="CBDBP001"/>
    <s v="Drytec Bond Plus"/>
    <n v="1"/>
    <n v="155"/>
    <n v="155"/>
    <s v="Comasa"/>
    <n v="127"/>
    <m/>
    <n v="127"/>
    <n v="28"/>
  </r>
  <r>
    <n v="60"/>
    <x v="21"/>
    <s v="diciembre"/>
    <x v="13"/>
    <s v="MFAR001"/>
    <s v="Alabastro Rodeno"/>
    <n v="1"/>
    <n v="420"/>
    <n v="420"/>
    <s v="Dispiasa"/>
    <n v="332"/>
    <m/>
    <n v="332"/>
    <n v="88"/>
  </r>
  <r>
    <n v="61"/>
    <x v="21"/>
    <s v="diciembre"/>
    <x v="1"/>
    <s v="MCBM033"/>
    <s v="Belén Marrón"/>
    <n v="14.44"/>
    <n v="295"/>
    <n v="4259.8"/>
    <s v="Dispiasa"/>
    <n v="268"/>
    <m/>
    <n v="3869.92"/>
    <n v="389.88000000000011"/>
  </r>
  <r>
    <n v="62"/>
    <x v="21"/>
    <s v="diciembre"/>
    <x v="0"/>
    <s v="APPK001"/>
    <s v="Plasterbond Klebe"/>
    <n v="3.2"/>
    <n v="100"/>
    <n v="320"/>
    <s v="Aginsa"/>
    <n v="80"/>
    <m/>
    <n v="256"/>
    <n v="64"/>
  </r>
  <r>
    <n v="63"/>
    <x v="21"/>
    <s v="diciembre"/>
    <x v="4"/>
    <s v="CBDBP001"/>
    <s v="Drytec Bond Plus"/>
    <n v="6"/>
    <n v="155"/>
    <n v="930"/>
    <s v="Comasa"/>
    <n v="127"/>
    <m/>
    <n v="762"/>
    <n v="168"/>
  </r>
  <r>
    <n v="64"/>
    <x v="21"/>
    <s v="diciembre"/>
    <x v="13"/>
    <s v="MFCM001"/>
    <s v="Creta Marrón"/>
    <n v="10.83"/>
    <n v="400"/>
    <n v="4332"/>
    <s v="Dispiasa"/>
    <n v="335"/>
    <m/>
    <n v="3628.05"/>
    <n v="703.94999999999982"/>
  </r>
  <r>
    <n v="65"/>
    <x v="21"/>
    <s v="diciembre"/>
    <x v="1"/>
    <s v="MC822R001"/>
    <s v="822 Roble"/>
    <n v="2"/>
    <n v="240"/>
    <n v="480"/>
    <s v="Dispiasa"/>
    <n v="207"/>
    <m/>
    <n v="414"/>
    <n v="66"/>
  </r>
  <r>
    <n v="66"/>
    <x v="21"/>
    <s v="diciembre"/>
    <x v="4"/>
    <s v="CBDBP001"/>
    <s v="Drytec Bond Plus"/>
    <n v="5"/>
    <n v="155"/>
    <n v="775"/>
    <s v="Comasa"/>
    <n v="127"/>
    <m/>
    <n v="635"/>
    <n v="140"/>
  </r>
  <r>
    <n v="67"/>
    <x v="21"/>
    <s v="diciembre"/>
    <x v="5"/>
    <s v="SS003"/>
    <s v="Separadores de 3 mm"/>
    <n v="1"/>
    <n v="35"/>
    <n v="35"/>
    <s v="Silco"/>
    <n v="26"/>
    <m/>
    <n v="26"/>
    <n v="9"/>
  </r>
  <r>
    <n v="68"/>
    <x v="21"/>
    <s v="diciembre"/>
    <x v="2"/>
    <s v="CAAPB001"/>
    <s v="Andes Plus Blanco"/>
    <n v="3"/>
    <n v="300"/>
    <n v="900"/>
    <s v="Comasa"/>
    <n v="272"/>
    <m/>
    <n v="816"/>
    <n v="84"/>
  </r>
  <r>
    <n v="69"/>
    <x v="21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70"/>
    <x v="21"/>
    <s v="diciembre"/>
    <x v="4"/>
    <s v="CBDBP001"/>
    <s v="Drytec Bond Plus"/>
    <n v="1"/>
    <n v="155"/>
    <n v="155"/>
    <s v="Comasa"/>
    <n v="127"/>
    <m/>
    <n v="127"/>
    <n v="28"/>
  </r>
  <r>
    <n v="71"/>
    <x v="22"/>
    <s v="diciembre"/>
    <x v="13"/>
    <s v="MFCM001"/>
    <s v="Creta Marrón"/>
    <n v="15.16"/>
    <n v="400"/>
    <n v="6064"/>
    <s v="Dispiasa"/>
    <n v="335"/>
    <m/>
    <n v="5078.6000000000004"/>
    <n v="985.39999999999964"/>
  </r>
  <r>
    <n v="72"/>
    <x v="22"/>
    <s v="diciembre"/>
    <x v="2"/>
    <s v="MA722A001"/>
    <s v="722 Azul liso"/>
    <n v="3"/>
    <n v="270"/>
    <n v="810"/>
    <s v="Dispiasa"/>
    <n v="207"/>
    <m/>
    <n v="621"/>
    <n v="189"/>
  </r>
  <r>
    <n v="73"/>
    <x v="22"/>
    <s v="diciembre"/>
    <x v="4"/>
    <s v="CBDBP001"/>
    <s v="Drytec Bond Plus"/>
    <n v="1"/>
    <n v="155"/>
    <n v="155"/>
    <s v="Comasa"/>
    <n v="127"/>
    <m/>
    <n v="127"/>
    <n v="28"/>
  </r>
  <r>
    <n v="74"/>
    <x v="22"/>
    <s v="diciembre"/>
    <x v="11"/>
    <s v="IBTC001"/>
    <s v="Tubo de Cortina"/>
    <n v="1"/>
    <n v="180"/>
    <n v="180"/>
    <s v="Invercopa"/>
    <n v="138"/>
    <m/>
    <n v="138"/>
    <n v="42"/>
  </r>
  <r>
    <n v="75"/>
    <x v="22"/>
    <s v="diciembre"/>
    <x v="1"/>
    <s v="MC722A001"/>
    <s v="722 Azul"/>
    <n v="11"/>
    <n v="240"/>
    <n v="2640"/>
    <s v="Dispiasa"/>
    <n v="207"/>
    <m/>
    <n v="2277"/>
    <n v="363"/>
  </r>
  <r>
    <n v="76"/>
    <x v="22"/>
    <s v="diciembre"/>
    <x v="9"/>
    <s v="CRFD"/>
    <s v="Repello Fino Drytec"/>
    <n v="1"/>
    <n v="250"/>
    <n v="250"/>
    <s v="Comasa"/>
    <n v="236"/>
    <m/>
    <n v="236"/>
    <n v="14"/>
  </r>
  <r>
    <n v="77"/>
    <x v="22"/>
    <s v="diciembre"/>
    <x v="0"/>
    <s v="APPK001"/>
    <s v="Plasterbond Klebe"/>
    <n v="1"/>
    <n v="100"/>
    <n v="100"/>
    <s v="Aginsa"/>
    <n v="80"/>
    <m/>
    <n v="80"/>
    <n v="20"/>
  </r>
  <r>
    <n v="78"/>
    <x v="22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79"/>
    <x v="22"/>
    <s v="diciembre"/>
    <x v="2"/>
    <s v="CAAPB001"/>
    <s v="Andes Plus Blanco"/>
    <n v="0.5"/>
    <n v="300"/>
    <n v="150"/>
    <s v="Comasa"/>
    <n v="272"/>
    <m/>
    <n v="136"/>
    <n v="14"/>
  </r>
  <r>
    <n v="80"/>
    <x v="22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81"/>
    <x v="22"/>
    <s v="diciembre"/>
    <x v="1"/>
    <s v="CCBB001"/>
    <s v="Babilonia Blanco"/>
    <n v="0.55555555555555558"/>
    <n v="240"/>
    <n v="133.33333333333334"/>
    <s v="Comasa"/>
    <n v="216.82"/>
    <m/>
    <n v="120.45555555555556"/>
    <n v="12.87777777777778"/>
  </r>
  <r>
    <n v="82"/>
    <x v="22"/>
    <s v="diciembre"/>
    <x v="1"/>
    <s v="HCPIPW58"/>
    <s v="Piso Incenor Plain White 58x58"/>
    <n v="25"/>
    <n v="255"/>
    <n v="6375"/>
    <s v="Halcón"/>
    <n v="225"/>
    <m/>
    <n v="5625"/>
    <n v="750"/>
  </r>
  <r>
    <n v="83"/>
    <x v="22"/>
    <s v="diciembre"/>
    <x v="1"/>
    <s v="CCMDC001"/>
    <s v="Madera Dinizia Claro"/>
    <n v="1"/>
    <n v="240"/>
    <n v="240"/>
    <s v="Comasa"/>
    <n v="212"/>
    <m/>
    <n v="212"/>
    <n v="28"/>
  </r>
  <r>
    <n v="84"/>
    <x v="22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85"/>
    <x v="22"/>
    <s v="diciembre"/>
    <x v="1"/>
    <s v="CCMC001"/>
    <s v="Madera Cedro"/>
    <n v="12"/>
    <n v="280"/>
    <n v="3360"/>
    <s v="Comasa"/>
    <n v="236"/>
    <m/>
    <n v="2832"/>
    <n v="528"/>
  </r>
  <r>
    <n v="86"/>
    <x v="22"/>
    <s v="diciembre"/>
    <x v="4"/>
    <s v="CBDBP001"/>
    <s v="Drytec Bond Plus"/>
    <n v="4"/>
    <n v="155"/>
    <n v="620"/>
    <s v="Comasa"/>
    <n v="127"/>
    <m/>
    <n v="508"/>
    <n v="112"/>
  </r>
  <r>
    <n v="87"/>
    <x v="22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88"/>
    <x v="22"/>
    <s v="diciembre"/>
    <x v="1"/>
    <s v="CCCG034"/>
    <s v="Calzada Gris"/>
    <n v="2.15"/>
    <n v="250"/>
    <n v="537.5"/>
    <s v="Comasa"/>
    <n v="232.64"/>
    <m/>
    <n v="500.17599999999993"/>
    <n v="37.324000000000069"/>
  </r>
  <r>
    <n v="89"/>
    <x v="22"/>
    <s v="diciembre"/>
    <x v="2"/>
    <s v="MALVL001"/>
    <s v="Lisboa Verde Liso"/>
    <n v="7.6333333333333329"/>
    <n v="295"/>
    <n v="2251.833333333333"/>
    <s v="Dispiasa"/>
    <n v="268"/>
    <m/>
    <n v="2045.7333333333331"/>
    <n v="206.09999999999991"/>
  </r>
  <r>
    <n v="90"/>
    <x v="22"/>
    <s v="diciembre"/>
    <x v="2"/>
    <s v="MALV1001"/>
    <s v="Lisboa Verde 1"/>
    <n v="2.3333333333333335"/>
    <n v="295"/>
    <n v="688.33333333333337"/>
    <s v="Dispiasa"/>
    <n v="268"/>
    <m/>
    <n v="625.33333333333337"/>
    <n v="63"/>
  </r>
  <r>
    <n v="91"/>
    <x v="22"/>
    <s v="diciembre"/>
    <x v="1"/>
    <s v="MCMV001"/>
    <s v="Mosaico Verde"/>
    <n v="3"/>
    <n v="295"/>
    <n v="885"/>
    <s v="Dispiasa"/>
    <n v="268"/>
    <m/>
    <n v="804"/>
    <n v="81"/>
  </r>
  <r>
    <n v="92"/>
    <x v="23"/>
    <s v="diciembre"/>
    <x v="1"/>
    <s v="MC722A001"/>
    <s v="722 Azul"/>
    <n v="4"/>
    <n v="240"/>
    <n v="960"/>
    <s v="Dispiasa"/>
    <n v="207"/>
    <m/>
    <n v="828"/>
    <n v="132"/>
  </r>
  <r>
    <n v="93"/>
    <x v="23"/>
    <s v="diciembre"/>
    <x v="4"/>
    <s v="CBDBP001"/>
    <s v="Drytec Bond Plus"/>
    <n v="2"/>
    <n v="155"/>
    <n v="310"/>
    <s v="Comasa"/>
    <n v="127"/>
    <m/>
    <n v="254"/>
    <n v="56"/>
  </r>
  <r>
    <n v="94"/>
    <x v="23"/>
    <s v="diciembre"/>
    <x v="4"/>
    <s v="CBDBP001"/>
    <s v="Drytec Bond Plus"/>
    <n v="2"/>
    <n v="155"/>
    <n v="310"/>
    <s v="Comasa"/>
    <n v="127"/>
    <m/>
    <n v="254"/>
    <n v="56"/>
  </r>
  <r>
    <n v="95"/>
    <x v="23"/>
    <s v="diciembre"/>
    <x v="0"/>
    <s v="APPK001"/>
    <s v="Plasterbond Klebe"/>
    <n v="1"/>
    <n v="100"/>
    <n v="100"/>
    <s v="Aginsa"/>
    <n v="80"/>
    <m/>
    <n v="80"/>
    <n v="20"/>
  </r>
  <r>
    <n v="96"/>
    <x v="23"/>
    <s v="diciembre"/>
    <x v="1"/>
    <s v="MCFB001"/>
    <s v="Florencia Beige"/>
    <n v="1.6667000000000001"/>
    <n v="300"/>
    <n v="500.01000000000005"/>
    <s v="Dispiasa"/>
    <n v="268"/>
    <m/>
    <n v="446.67560000000003"/>
    <n v="53.334400000000016"/>
  </r>
  <r>
    <n v="97"/>
    <x v="23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98"/>
    <x v="23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99"/>
    <x v="23"/>
    <s v="diciembre"/>
    <x v="1"/>
    <s v="HCPIPW58"/>
    <s v="Piso Incenor Plain White 58x58"/>
    <n v="0.67"/>
    <n v="255"/>
    <n v="170.85000000000002"/>
    <s v="Halcón"/>
    <n v="225"/>
    <m/>
    <n v="150.75"/>
    <n v="20.100000000000023"/>
  </r>
  <r>
    <n v="100"/>
    <x v="23"/>
    <s v="diciembre"/>
    <x v="1"/>
    <s v="MCBM033"/>
    <s v="Belén Marrón"/>
    <n v="4"/>
    <n v="300"/>
    <n v="1200"/>
    <s v="Dispiasa"/>
    <n v="268"/>
    <m/>
    <n v="1072"/>
    <n v="128"/>
  </r>
  <r>
    <n v="101"/>
    <x v="23"/>
    <s v="diciembre"/>
    <x v="1"/>
    <s v="CCBB001"/>
    <s v="Babilonia Blanco"/>
    <n v="2"/>
    <n v="240"/>
    <n v="480"/>
    <s v="Comasa"/>
    <n v="216.82"/>
    <m/>
    <n v="433.64"/>
    <n v="46.360000000000014"/>
  </r>
  <r>
    <n v="102"/>
    <x v="23"/>
    <s v="diciembre"/>
    <x v="4"/>
    <s v="CBDBP001"/>
    <s v="Drytec Bond Plus"/>
    <n v="2"/>
    <n v="155"/>
    <n v="310"/>
    <s v="Comasa"/>
    <n v="127"/>
    <m/>
    <n v="254"/>
    <n v="56"/>
  </r>
  <r>
    <n v="103"/>
    <x v="23"/>
    <s v="diciembre"/>
    <x v="1"/>
    <s v="CCMC001"/>
    <s v="Madera Cedro"/>
    <n v="3.92"/>
    <n v="280"/>
    <n v="1097.5999999999999"/>
    <s v="Comasa"/>
    <n v="236"/>
    <m/>
    <n v="925.12"/>
    <n v="172.4799999999999"/>
  </r>
  <r>
    <n v="104"/>
    <x v="23"/>
    <s v="diciembre"/>
    <x v="4"/>
    <s v="CBDBP001"/>
    <s v="Drytec Bond Plus"/>
    <n v="2"/>
    <n v="155"/>
    <n v="310"/>
    <s v="Comasa"/>
    <n v="127"/>
    <m/>
    <n v="254"/>
    <n v="56"/>
  </r>
  <r>
    <n v="105"/>
    <x v="23"/>
    <s v="diciembre"/>
    <x v="1"/>
    <s v="CCBB001"/>
    <s v="Babilonia Blanco"/>
    <n v="21"/>
    <n v="240"/>
    <n v="5040"/>
    <s v="Comasa"/>
    <n v="216.82"/>
    <m/>
    <n v="4553.22"/>
    <n v="486.77999999999975"/>
  </r>
  <r>
    <n v="106"/>
    <x v="23"/>
    <s v="diciembre"/>
    <x v="4"/>
    <s v="CBDBP001"/>
    <s v="Drytec Bond Plus"/>
    <n v="4"/>
    <n v="155"/>
    <n v="620"/>
    <s v="Comasa"/>
    <n v="127"/>
    <m/>
    <n v="508"/>
    <n v="112"/>
  </r>
  <r>
    <n v="107"/>
    <x v="23"/>
    <s v="diciembre"/>
    <x v="1"/>
    <s v="CCBB001"/>
    <s v="Babilonia Blanco"/>
    <n v="14"/>
    <n v="270"/>
    <n v="3780"/>
    <s v="Comasa"/>
    <n v="216.82"/>
    <m/>
    <n v="3035.48"/>
    <n v="744.52"/>
  </r>
  <r>
    <n v="108"/>
    <x v="23"/>
    <s v="diciembre"/>
    <x v="4"/>
    <s v="MBDBP"/>
    <s v="Diamond Bond Plus"/>
    <n v="5"/>
    <n v="120"/>
    <n v="600"/>
    <s v="Martinez"/>
    <n v="34"/>
    <m/>
    <n v="170"/>
    <n v="430"/>
  </r>
  <r>
    <n v="109"/>
    <x v="23"/>
    <s v="diciembre"/>
    <x v="5"/>
    <s v="SS003"/>
    <s v="Separadores de 3 mm"/>
    <n v="1"/>
    <n v="35"/>
    <n v="35"/>
    <s v="Silco"/>
    <n v="26"/>
    <m/>
    <n v="26"/>
    <n v="9"/>
  </r>
  <r>
    <n v="110"/>
    <x v="23"/>
    <s v="diciembre"/>
    <x v="6"/>
    <s v="MPPM"/>
    <s v="Porcelana Maya "/>
    <n v="3"/>
    <n v="60"/>
    <n v="180"/>
    <s v="Martinez"/>
    <n v="33.333333333333336"/>
    <m/>
    <n v="100"/>
    <n v="80"/>
  </r>
  <r>
    <n v="111"/>
    <x v="23"/>
    <s v="diciembre"/>
    <x v="1"/>
    <s v="MC722A001"/>
    <s v="722 Azul"/>
    <n v="14"/>
    <n v="240"/>
    <n v="3360"/>
    <s v="Dispiasa"/>
    <n v="207"/>
    <m/>
    <n v="2898"/>
    <n v="462"/>
  </r>
  <r>
    <n v="112"/>
    <x v="23"/>
    <s v="diciembre"/>
    <x v="6"/>
    <s v="MPPM"/>
    <s v="Porcelana Maya "/>
    <n v="2"/>
    <n v="60"/>
    <n v="120"/>
    <s v="Martinez"/>
    <n v="33.333333333333336"/>
    <m/>
    <n v="66.666666666666671"/>
    <n v="53.333333333333329"/>
  </r>
  <r>
    <n v="113"/>
    <x v="23"/>
    <s v="diciembre"/>
    <x v="5"/>
    <s v="SS005"/>
    <s v="Separadores de 5 mm"/>
    <n v="1"/>
    <n v="35"/>
    <n v="35"/>
    <s v="Silco"/>
    <n v="22"/>
    <m/>
    <n v="22"/>
    <n v="13"/>
  </r>
  <r>
    <n v="114"/>
    <x v="23"/>
    <s v="diciembre"/>
    <x v="2"/>
    <s v="MA722M001"/>
    <s v="722 Marrón"/>
    <n v="2"/>
    <n v="270"/>
    <n v="540"/>
    <s v="Dispiasa"/>
    <n v="207"/>
    <m/>
    <n v="414"/>
    <n v="126"/>
  </r>
  <r>
    <n v="115"/>
    <x v="23"/>
    <s v="diciembre"/>
    <x v="4"/>
    <s v="CBDBP001"/>
    <s v="Drytec Bond Plus"/>
    <n v="2"/>
    <n v="155"/>
    <n v="310"/>
    <s v="Comasa"/>
    <n v="127"/>
    <m/>
    <n v="254"/>
    <n v="56"/>
  </r>
  <r>
    <n v="116"/>
    <x v="23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17"/>
    <x v="23"/>
    <s v="diciembre"/>
    <x v="1"/>
    <s v="MC722A001"/>
    <s v="722 Azul"/>
    <n v="3"/>
    <n v="240"/>
    <n v="720"/>
    <s v="Dispiasa"/>
    <n v="207"/>
    <m/>
    <n v="621"/>
    <n v="99"/>
  </r>
  <r>
    <n v="118"/>
    <x v="23"/>
    <s v="diciembre"/>
    <x v="1"/>
    <s v="CCMC001"/>
    <s v="Madera Cedro"/>
    <n v="0.46200000000000002"/>
    <n v="280"/>
    <n v="129.36000000000001"/>
    <s v="Comasa"/>
    <n v="236"/>
    <m/>
    <n v="109.03200000000001"/>
    <n v="20.328000000000003"/>
  </r>
  <r>
    <n v="119"/>
    <x v="23"/>
    <s v="diciembre"/>
    <x v="1"/>
    <s v="CCOM001"/>
    <s v="Omega Madera"/>
    <n v="3"/>
    <n v="300"/>
    <n v="900"/>
    <s v="Comasa"/>
    <n v="248"/>
    <m/>
    <n v="744"/>
    <n v="156"/>
  </r>
  <r>
    <n v="120"/>
    <x v="23"/>
    <s v="diciembre"/>
    <x v="4"/>
    <s v="MBDBP"/>
    <s v="Diamond Bond Plus"/>
    <n v="2"/>
    <n v="120"/>
    <n v="240"/>
    <s v="Martinez"/>
    <n v="34"/>
    <m/>
    <n v="68"/>
    <n v="172"/>
  </r>
  <r>
    <n v="121"/>
    <x v="23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22"/>
    <x v="23"/>
    <s v="diciembre"/>
    <x v="1"/>
    <s v="MC722A001"/>
    <s v="722 Azul"/>
    <n v="25"/>
    <n v="240"/>
    <n v="6000"/>
    <s v="Dispiasa"/>
    <n v="207"/>
    <m/>
    <n v="5175"/>
    <n v="825"/>
  </r>
  <r>
    <n v="123"/>
    <x v="23"/>
    <s v="diciembre"/>
    <x v="4"/>
    <s v="MBDBP"/>
    <s v="Diamond Bond Plus"/>
    <n v="8"/>
    <n v="120"/>
    <n v="960"/>
    <s v="Martinez"/>
    <n v="34"/>
    <m/>
    <n v="272"/>
    <n v="688"/>
  </r>
  <r>
    <n v="124"/>
    <x v="23"/>
    <s v="diciembre"/>
    <x v="6"/>
    <s v="MPPM"/>
    <s v="Porcelana Maya "/>
    <n v="5"/>
    <n v="60"/>
    <n v="300"/>
    <s v="Martinez"/>
    <n v="33.333333333333336"/>
    <m/>
    <n v="166.66666666666669"/>
    <n v="133.33333333333331"/>
  </r>
  <r>
    <n v="125"/>
    <x v="23"/>
    <s v="diciembre"/>
    <x v="7"/>
    <s v="MIEVT001"/>
    <s v="Inodoro Ecoline Verde Tropical"/>
    <n v="1"/>
    <n v="1950"/>
    <n v="1950"/>
    <s v="Dispiasa"/>
    <n v="1718"/>
    <m/>
    <n v="1718"/>
    <n v="232"/>
  </r>
  <r>
    <n v="126"/>
    <x v="23"/>
    <s v="diciembre"/>
    <x v="1"/>
    <s v="MCZM001"/>
    <s v="Zacatepec Marrón"/>
    <n v="2"/>
    <n v="250"/>
    <n v="500"/>
    <s v="Dispiasa"/>
    <n v="219"/>
    <m/>
    <n v="438"/>
    <n v="62"/>
  </r>
  <r>
    <n v="127"/>
    <x v="23"/>
    <s v="diciembre"/>
    <x v="1"/>
    <s v="MCMA001"/>
    <s v="Mosaico Azul"/>
    <n v="4.5"/>
    <n v="300"/>
    <n v="1350"/>
    <s v="Dispiasa"/>
    <n v="268"/>
    <m/>
    <n v="1206"/>
    <n v="144"/>
  </r>
  <r>
    <n v="128"/>
    <x v="23"/>
    <s v="diciembre"/>
    <x v="6"/>
    <s v="MPPM"/>
    <s v="Porcelana Maya "/>
    <n v="2"/>
    <n v="60"/>
    <n v="120"/>
    <s v="Martinez"/>
    <n v="33.333333333333336"/>
    <m/>
    <n v="66.666666666666671"/>
    <n v="53.333333333333329"/>
  </r>
  <r>
    <n v="129"/>
    <x v="24"/>
    <s v="diciembre"/>
    <x v="1"/>
    <s v="CCMC001"/>
    <s v="Madera Cedro"/>
    <n v="18"/>
    <n v="280"/>
    <n v="5040"/>
    <s v="Comasa"/>
    <n v="236"/>
    <m/>
    <n v="4248"/>
    <n v="792"/>
  </r>
  <r>
    <n v="130"/>
    <x v="24"/>
    <s v="diciembre"/>
    <x v="6"/>
    <s v="MPPM"/>
    <s v="Porcelana Maya "/>
    <n v="3"/>
    <n v="60"/>
    <n v="180"/>
    <s v="Martinez"/>
    <n v="33.333333333333336"/>
    <m/>
    <n v="100"/>
    <n v="80"/>
  </r>
  <r>
    <n v="131"/>
    <x v="24"/>
    <s v="diciembre"/>
    <x v="5"/>
    <s v="SS005"/>
    <s v="Separadores de 5 mm"/>
    <n v="1"/>
    <n v="35"/>
    <n v="35"/>
    <s v="Silco"/>
    <n v="22"/>
    <m/>
    <n v="22"/>
    <n v="13"/>
  </r>
  <r>
    <n v="132"/>
    <x v="24"/>
    <s v="diciembre"/>
    <x v="1"/>
    <s v="CCBB001"/>
    <s v="Babilonia Blanco"/>
    <n v="10.5"/>
    <n v="240"/>
    <n v="2520"/>
    <s v="Comasa"/>
    <n v="216.82"/>
    <m/>
    <n v="2276.61"/>
    <n v="243.38999999999987"/>
  </r>
  <r>
    <n v="133"/>
    <x v="24"/>
    <s v="diciembre"/>
    <x v="4"/>
    <s v="MBDBP"/>
    <s v="Diamond Bond Plus"/>
    <n v="4"/>
    <n v="120"/>
    <n v="480"/>
    <s v="Martinez"/>
    <n v="34"/>
    <m/>
    <n v="136"/>
    <n v="344"/>
  </r>
  <r>
    <n v="134"/>
    <x v="24"/>
    <s v="diciembre"/>
    <x v="6"/>
    <s v="MPPM"/>
    <s v="Porcelana Maya "/>
    <n v="2"/>
    <n v="60"/>
    <n v="120"/>
    <s v="Martinez"/>
    <n v="33.333333333333336"/>
    <m/>
    <n v="66.666666666666671"/>
    <n v="53.333333333333329"/>
  </r>
  <r>
    <n v="135"/>
    <x v="24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36"/>
    <x v="24"/>
    <s v="diciembre"/>
    <x v="5"/>
    <s v="SS003"/>
    <s v="Separadores de 3 mm"/>
    <n v="1"/>
    <n v="35"/>
    <n v="35"/>
    <s v="Silco"/>
    <n v="26"/>
    <m/>
    <n v="26"/>
    <n v="9"/>
  </r>
  <r>
    <n v="137"/>
    <x v="24"/>
    <s v="diciembre"/>
    <x v="1"/>
    <s v="CCCG034"/>
    <s v="Calzada Gris"/>
    <n v="5"/>
    <n v="250"/>
    <n v="1250"/>
    <s v="Comasa"/>
    <n v="232.64"/>
    <m/>
    <n v="1163.1999999999998"/>
    <n v="86.800000000000182"/>
  </r>
  <r>
    <n v="138"/>
    <x v="24"/>
    <s v="diciembre"/>
    <x v="4"/>
    <s v="MBDBP"/>
    <s v="Diamond Bond Plus"/>
    <n v="2"/>
    <n v="120"/>
    <n v="240"/>
    <s v="Martinez"/>
    <n v="34"/>
    <m/>
    <n v="68"/>
    <n v="172"/>
  </r>
  <r>
    <n v="139"/>
    <x v="24"/>
    <s v="diciembre"/>
    <x v="10"/>
    <s v="MIBL11"/>
    <s v="Bujía Led 3B 11w"/>
    <n v="1"/>
    <n v="70"/>
    <n v="70"/>
    <s v="Magaña"/>
    <n v="0"/>
    <m/>
    <s v=""/>
    <s v=""/>
  </r>
  <r>
    <n v="140"/>
    <x v="24"/>
    <s v="diciembre"/>
    <x v="5"/>
    <s v="SS004"/>
    <s v="Separadores de 4 mm"/>
    <n v="1"/>
    <n v="35"/>
    <n v="35"/>
    <s v="Silco"/>
    <n v="22"/>
    <m/>
    <n v="22"/>
    <n v="13"/>
  </r>
  <r>
    <n v="141"/>
    <x v="24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42"/>
    <x v="24"/>
    <s v="diciembre"/>
    <x v="2"/>
    <s v="MAPAL002"/>
    <s v="Primavera Azul Liso"/>
    <n v="0.25"/>
    <n v="300"/>
    <n v="75"/>
    <s v="Dispiasa"/>
    <n v="268"/>
    <m/>
    <n v="67"/>
    <n v="8"/>
  </r>
  <r>
    <n v="143"/>
    <x v="24"/>
    <s v="diciembre"/>
    <x v="1"/>
    <s v="MCPN001"/>
    <s v="Palestina negro"/>
    <n v="1.33"/>
    <n v="300"/>
    <n v="399"/>
    <s v="Dispiasa"/>
    <n v="268"/>
    <m/>
    <n v="356.44"/>
    <n v="42.56"/>
  </r>
  <r>
    <n v="144"/>
    <x v="24"/>
    <s v="diciembre"/>
    <x v="4"/>
    <s v="CBDBP001"/>
    <s v="Drytec Bond Plus"/>
    <n v="1"/>
    <n v="155"/>
    <n v="155"/>
    <s v="Comasa"/>
    <n v="127"/>
    <m/>
    <n v="127"/>
    <n v="28"/>
  </r>
  <r>
    <n v="145"/>
    <x v="24"/>
    <s v="diciembre"/>
    <x v="1"/>
    <s v="MC802R001"/>
    <s v="802 Roble"/>
    <n v="1"/>
    <n v="240"/>
    <n v="240"/>
    <s v="Dispiasa"/>
    <n v="207"/>
    <m/>
    <n v="207"/>
    <n v="33"/>
  </r>
  <r>
    <n v="146"/>
    <x v="24"/>
    <s v="diciembre"/>
    <x v="1"/>
    <s v="CCBB001"/>
    <s v="Babilonia Blanco"/>
    <n v="4"/>
    <n v="240"/>
    <n v="960"/>
    <s v="Comasa"/>
    <n v="216.82"/>
    <m/>
    <n v="867.28"/>
    <n v="92.720000000000027"/>
  </r>
  <r>
    <n v="147"/>
    <x v="24"/>
    <s v="diciembre"/>
    <x v="1"/>
    <s v="MC222B001"/>
    <s v="222 Blanco"/>
    <n v="3"/>
    <n v="240"/>
    <n v="720"/>
    <s v="Dispiasa"/>
    <n v="207"/>
    <m/>
    <n v="621"/>
    <n v="99"/>
  </r>
  <r>
    <n v="148"/>
    <x v="24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49"/>
    <x v="24"/>
    <s v="diciembre"/>
    <x v="2"/>
    <s v="MACB001"/>
    <s v="Calpe Blanco"/>
    <n v="1.42"/>
    <n v="300"/>
    <n v="426"/>
    <s v="Dispiasa"/>
    <n v="268"/>
    <m/>
    <n v="380.56"/>
    <n v="45.44"/>
  </r>
  <r>
    <n v="150"/>
    <x v="24"/>
    <s v="diciembre"/>
    <x v="1"/>
    <s v="MCEB001"/>
    <s v="Ebro Beige"/>
    <n v="1"/>
    <n v="300"/>
    <n v="300"/>
    <s v="Dispiasa"/>
    <n v="268"/>
    <m/>
    <n v="268"/>
    <n v="32"/>
  </r>
  <r>
    <n v="151"/>
    <x v="24"/>
    <s v="diciembre"/>
    <x v="2"/>
    <s v="MABCL001"/>
    <s v="Breccia Café Liso"/>
    <n v="10.8"/>
    <n v="300"/>
    <n v="3240"/>
    <s v="Dispiasa"/>
    <n v="283"/>
    <m/>
    <n v="3056.4"/>
    <n v="183.59999999999991"/>
  </r>
  <r>
    <n v="152"/>
    <x v="24"/>
    <s v="diciembre"/>
    <x v="2"/>
    <s v="MABC1001"/>
    <s v="Breccia Café 1"/>
    <n v="1.2"/>
    <n v="300"/>
    <n v="360"/>
    <s v="Dispiasa"/>
    <n v="283"/>
    <m/>
    <n v="339.59999999999997"/>
    <n v="20.400000000000034"/>
  </r>
  <r>
    <n v="153"/>
    <x v="24"/>
    <s v="diciembre"/>
    <x v="6"/>
    <s v="MPPM"/>
    <s v="Porcelana Maya "/>
    <n v="3"/>
    <n v="60"/>
    <n v="180"/>
    <s v="Martinez"/>
    <n v="33.333333333333336"/>
    <m/>
    <n v="100"/>
    <n v="80"/>
  </r>
  <r>
    <n v="154"/>
    <x v="24"/>
    <s v="diciembre"/>
    <x v="5"/>
    <s v="SS003"/>
    <s v="Separadores de 3 mm"/>
    <n v="1"/>
    <n v="35"/>
    <n v="35"/>
    <s v="Silco"/>
    <n v="26"/>
    <m/>
    <n v="26"/>
    <n v="9"/>
  </r>
  <r>
    <n v="155"/>
    <x v="24"/>
    <s v="diciembre"/>
    <x v="2"/>
    <s v="CAAPB001"/>
    <s v="Andes Plus Blanco"/>
    <n v="3"/>
    <n v="300"/>
    <n v="900"/>
    <s v="Comasa"/>
    <n v="272"/>
    <m/>
    <n v="816"/>
    <n v="84"/>
  </r>
  <r>
    <n v="156"/>
    <x v="24"/>
    <s v="diciembre"/>
    <x v="13"/>
    <s v="MFCM001"/>
    <s v="Creta Marrón"/>
    <n v="4"/>
    <n v="400"/>
    <n v="1600"/>
    <s v="Sandra"/>
    <n v="335"/>
    <m/>
    <n v="1340"/>
    <n v="260"/>
  </r>
  <r>
    <n v="157"/>
    <x v="24"/>
    <s v="diciembre"/>
    <x v="4"/>
    <s v="CBDBP001"/>
    <s v="Drytec Bond Plus"/>
    <n v="2"/>
    <n v="155"/>
    <n v="310"/>
    <s v="Comasa"/>
    <n v="127"/>
    <m/>
    <n v="254"/>
    <n v="56"/>
  </r>
  <r>
    <n v="158"/>
    <x v="25"/>
    <s v="diciembre"/>
    <x v="1"/>
    <s v="HCPIPW58"/>
    <s v="Piso Incenor Plain White 58x58"/>
    <n v="2"/>
    <n v="255"/>
    <n v="510"/>
    <s v="Halcón"/>
    <n v="225"/>
    <m/>
    <n v="450"/>
    <n v="60"/>
  </r>
  <r>
    <n v="159"/>
    <x v="25"/>
    <s v="diciembre"/>
    <x v="13"/>
    <s v="MFAR001"/>
    <s v="Alabastro Rodeno"/>
    <n v="1"/>
    <n v="420"/>
    <n v="420"/>
    <s v="Dispiasa"/>
    <n v="332"/>
    <m/>
    <n v="332"/>
    <n v="88"/>
  </r>
  <r>
    <n v="160"/>
    <x v="25"/>
    <s v="diciembre"/>
    <x v="10"/>
    <s v="MIBE27"/>
    <s v="Bujía espiral IML 27w"/>
    <n v="1"/>
    <n v="75"/>
    <n v="75"/>
    <s v="Magaña"/>
    <n v="0"/>
    <m/>
    <s v=""/>
    <s v=""/>
  </r>
  <r>
    <n v="161"/>
    <x v="25"/>
    <s v="diciembre"/>
    <x v="2"/>
    <s v="MAMV001"/>
    <s v="Marsella Visón"/>
    <n v="1.41"/>
    <n v="300"/>
    <n v="423"/>
    <s v="Dispiasa"/>
    <n v="268"/>
    <m/>
    <n v="377.88"/>
    <n v="45.120000000000005"/>
  </r>
  <r>
    <n v="162"/>
    <x v="25"/>
    <s v="diciembre"/>
    <x v="5"/>
    <s v="SS003"/>
    <s v="Separadores de 3 mm"/>
    <n v="1"/>
    <n v="35"/>
    <n v="35"/>
    <s v="Silco"/>
    <n v="26"/>
    <m/>
    <n v="26"/>
    <n v="9"/>
  </r>
  <r>
    <n v="163"/>
    <x v="25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64"/>
    <x v="25"/>
    <s v="diciembre"/>
    <x v="1"/>
    <s v="CCCB001"/>
    <s v="Carrara Blanco"/>
    <n v="1"/>
    <n v="265"/>
    <n v="265"/>
    <s v="Comasa"/>
    <n v="237"/>
    <m/>
    <n v="237"/>
    <n v="28"/>
  </r>
  <r>
    <n v="165"/>
    <x v="25"/>
    <s v="diciembre"/>
    <x v="1"/>
    <s v="MC722A001"/>
    <s v="722 Azul"/>
    <n v="9"/>
    <n v="240"/>
    <n v="2160"/>
    <s v="Dispiasa"/>
    <n v="207"/>
    <m/>
    <n v="1863"/>
    <n v="297"/>
  </r>
  <r>
    <n v="166"/>
    <x v="25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67"/>
    <x v="25"/>
    <s v="diciembre"/>
    <x v="4"/>
    <s v="CBDBP001"/>
    <s v="Drytec Bond Plus"/>
    <n v="2"/>
    <n v="155"/>
    <n v="310"/>
    <s v="Comasa"/>
    <n v="127"/>
    <m/>
    <n v="254"/>
    <n v="56"/>
  </r>
  <r>
    <n v="168"/>
    <x v="25"/>
    <s v="diciembre"/>
    <x v="1"/>
    <s v="MCFB001"/>
    <s v="Florencia Beige"/>
    <n v="20"/>
    <n v="295"/>
    <n v="5900"/>
    <s v="Comasa"/>
    <n v="268"/>
    <m/>
    <n v="5360"/>
    <n v="540"/>
  </r>
  <r>
    <n v="169"/>
    <x v="25"/>
    <s v="diciembre"/>
    <x v="4"/>
    <s v="CBDBP001"/>
    <s v="Drytec Bond Plus"/>
    <n v="5"/>
    <n v="155"/>
    <n v="775"/>
    <s v="Comasa"/>
    <n v="127"/>
    <m/>
    <n v="635"/>
    <n v="140"/>
  </r>
  <r>
    <n v="170"/>
    <x v="25"/>
    <s v="diciembre"/>
    <x v="2"/>
    <s v="MACB001"/>
    <s v="Calpe Blanco"/>
    <n v="2.5"/>
    <n v="300"/>
    <n v="750"/>
    <s v="Dispiasa"/>
    <n v="268"/>
    <m/>
    <n v="670"/>
    <n v="80"/>
  </r>
  <r>
    <n v="171"/>
    <x v="25"/>
    <s v="diciembre"/>
    <x v="3"/>
    <s v="SLTCF"/>
    <s v="Trampa Cespol Fama"/>
    <n v="1"/>
    <n v="80"/>
    <n v="80"/>
    <s v="Silco"/>
    <n v="0"/>
    <m/>
    <s v=""/>
    <s v=""/>
  </r>
  <r>
    <n v="172"/>
    <x v="25"/>
    <s v="diciembre"/>
    <x v="4"/>
    <s v="CBDBP001"/>
    <s v="Drytec Bond Plus"/>
    <n v="1"/>
    <n v="155"/>
    <n v="155"/>
    <s v="Comasa"/>
    <n v="127"/>
    <m/>
    <n v="127"/>
    <n v="28"/>
  </r>
  <r>
    <n v="173"/>
    <x v="25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74"/>
    <x v="25"/>
    <s v="diciembre"/>
    <x v="9"/>
    <s v="CRFD"/>
    <s v="Repello Fino Drytec"/>
    <n v="3"/>
    <n v="250"/>
    <n v="750"/>
    <s v="Comasa"/>
    <n v="236"/>
    <m/>
    <n v="708"/>
    <n v="42"/>
  </r>
  <r>
    <n v="175"/>
    <x v="25"/>
    <s v="diciembre"/>
    <x v="1"/>
    <s v="MCAB045"/>
    <s v="Amazonas Beige"/>
    <n v="2"/>
    <n v="360"/>
    <n v="720"/>
    <s v="Dispiasa"/>
    <n v="306"/>
    <m/>
    <n v="612"/>
    <n v="108"/>
  </r>
  <r>
    <n v="176"/>
    <x v="25"/>
    <s v="diciembre"/>
    <x v="3"/>
    <s v="CIKC001"/>
    <s v="Kit de Inodoro Cato"/>
    <n v="1"/>
    <n v="500"/>
    <n v="500"/>
    <s v="Comasa"/>
    <n v="228"/>
    <m/>
    <n v="228"/>
    <n v="272"/>
  </r>
  <r>
    <n v="177"/>
    <x v="25"/>
    <s v="diciembre"/>
    <x v="14"/>
    <s v="SOH"/>
    <s v="Haladera"/>
    <n v="2"/>
    <n v="25"/>
    <n v="50"/>
    <s v="Silco"/>
    <n v="20"/>
    <m/>
    <n v="40"/>
    <n v="10"/>
  </r>
  <r>
    <n v="178"/>
    <x v="25"/>
    <s v="diciembre"/>
    <x v="14"/>
    <s v="OOA001"/>
    <s v="Avería"/>
    <n v="2"/>
    <n v="80"/>
    <n v="160"/>
    <s v="Otro"/>
    <n v="0"/>
    <m/>
    <s v=""/>
    <s v=""/>
  </r>
  <r>
    <n v="179"/>
    <x v="25"/>
    <s v="diciembre"/>
    <x v="1"/>
    <s v="HCPIPW58"/>
    <s v="Piso Incenor Plain White 58x58"/>
    <n v="56"/>
    <n v="253"/>
    <n v="14168"/>
    <s v="Halcón"/>
    <n v="225"/>
    <m/>
    <n v="12600"/>
    <n v="1568"/>
  </r>
  <r>
    <n v="180"/>
    <x v="25"/>
    <s v="diciembre"/>
    <x v="4"/>
    <s v="CBDBP001"/>
    <s v="Drytec Bond Plus"/>
    <n v="15"/>
    <n v="150"/>
    <n v="2250"/>
    <s v="Comasa"/>
    <n v="127"/>
    <m/>
    <n v="1905"/>
    <n v="345"/>
  </r>
  <r>
    <n v="181"/>
    <x v="25"/>
    <s v="diciembre"/>
    <x v="6"/>
    <s v="MPPM"/>
    <s v="Porcelana Maya "/>
    <n v="5"/>
    <n v="60"/>
    <n v="300"/>
    <s v="Martinez"/>
    <n v="33.333333333333336"/>
    <m/>
    <n v="166.66666666666669"/>
    <n v="133.33333333333331"/>
  </r>
  <r>
    <n v="182"/>
    <x v="25"/>
    <s v="diciembre"/>
    <x v="5"/>
    <s v="SS005"/>
    <s v="Separadores de 5 mm"/>
    <n v="2"/>
    <n v="35"/>
    <n v="70"/>
    <s v="Silco"/>
    <n v="22"/>
    <m/>
    <n v="44"/>
    <n v="26"/>
  </r>
  <r>
    <n v="183"/>
    <x v="25"/>
    <s v="diciembre"/>
    <x v="1"/>
    <s v="MCNA001"/>
    <s v="Natal Azul"/>
    <n v="1"/>
    <n v="240"/>
    <n v="240"/>
    <s v="Dispiasa"/>
    <n v="207"/>
    <m/>
    <n v="207"/>
    <n v="33"/>
  </r>
  <r>
    <n v="184"/>
    <x v="25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85"/>
    <x v="25"/>
    <s v="diciembre"/>
    <x v="4"/>
    <s v="CBDBP001"/>
    <s v="Drytec Bond Plus"/>
    <n v="1"/>
    <n v="155"/>
    <n v="155"/>
    <s v="Comasa"/>
    <n v="127"/>
    <m/>
    <n v="127"/>
    <n v="28"/>
  </r>
  <r>
    <n v="186"/>
    <x v="25"/>
    <s v="diciembre"/>
    <x v="1"/>
    <s v="CCCB001"/>
    <s v="Carrara Blanco"/>
    <n v="8.5"/>
    <n v="265"/>
    <n v="2252.5"/>
    <s v="Comasa"/>
    <n v="237"/>
    <m/>
    <n v="2014.5"/>
    <n v="238"/>
  </r>
  <r>
    <n v="187"/>
    <x v="26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88"/>
    <x v="26"/>
    <s v="diciembre"/>
    <x v="1"/>
    <s v="MCDB001"/>
    <s v="Dubai Beige"/>
    <n v="0.55555555555555558"/>
    <n v="300"/>
    <n v="166.66666666666669"/>
    <s v="Dispiasa"/>
    <n v="268"/>
    <m/>
    <n v="148.88888888888889"/>
    <n v="17.7777777777778"/>
  </r>
  <r>
    <n v="189"/>
    <x v="26"/>
    <s v="diciembre"/>
    <x v="15"/>
    <s v="IPLPM"/>
    <s v="Lavamano de Pantry monomando"/>
    <n v="1"/>
    <n v="600"/>
    <n v="600"/>
    <s v="Invercopa"/>
    <n v="0"/>
    <m/>
    <s v=""/>
    <s v=""/>
  </r>
  <r>
    <n v="190"/>
    <x v="26"/>
    <s v="diciembre"/>
    <x v="3"/>
    <s v="SLLLM"/>
    <s v="Llave de lavamano Monomando"/>
    <n v="1"/>
    <n v="270"/>
    <n v="270"/>
    <s v="Silco"/>
    <n v="0"/>
    <m/>
    <s v=""/>
    <s v=""/>
  </r>
  <r>
    <n v="191"/>
    <x v="26"/>
    <s v="diciembre"/>
    <x v="15"/>
    <s v="SPCPA"/>
    <s v="Centro de Pantry Aqua"/>
    <n v="1"/>
    <n v="90"/>
    <n v="90"/>
    <s v="Silco"/>
    <n v="0"/>
    <m/>
    <s v=""/>
    <s v=""/>
  </r>
  <r>
    <n v="192"/>
    <x v="26"/>
    <s v="diciembre"/>
    <x v="1"/>
    <s v="CCCG034"/>
    <s v="Calzada Gris"/>
    <n v="1"/>
    <n v="250"/>
    <n v="250"/>
    <s v="Comasa"/>
    <n v="232.64"/>
    <m/>
    <n v="232.64"/>
    <n v="17.360000000000014"/>
  </r>
  <r>
    <n v="193"/>
    <x v="26"/>
    <s v="diciembre"/>
    <x v="2"/>
    <s v="CAAPB001"/>
    <s v="Andes Plus Blanco"/>
    <n v="0.4375"/>
    <n v="300"/>
    <n v="131.25"/>
    <s v="Comasa"/>
    <n v="272"/>
    <m/>
    <n v="119"/>
    <n v="12.25"/>
  </r>
  <r>
    <n v="194"/>
    <x v="26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195"/>
    <x v="26"/>
    <s v="diciembre"/>
    <x v="1"/>
    <s v="MCFB001"/>
    <s v="Florencia Beige"/>
    <n v="0.66666666666666663"/>
    <n v="300"/>
    <n v="200"/>
    <s v="Comasa"/>
    <n v="268"/>
    <m/>
    <n v="178.66666666666666"/>
    <n v="21.333333333333343"/>
  </r>
  <r>
    <n v="196"/>
    <x v="26"/>
    <s v="diciembre"/>
    <x v="2"/>
    <s v="MA722A001"/>
    <s v="722 Azul liso"/>
    <n v="1"/>
    <n v="270"/>
    <n v="270"/>
    <s v="Dispiasa"/>
    <n v="207"/>
    <m/>
    <n v="207"/>
    <n v="63"/>
  </r>
  <r>
    <n v="197"/>
    <x v="26"/>
    <s v="diciembre"/>
    <x v="14"/>
    <s v="OOA001"/>
    <s v="Avería"/>
    <n v="50"/>
    <n v="80"/>
    <n v="4000"/>
    <s v="Otro"/>
    <n v="0"/>
    <m/>
    <s v=""/>
    <s v=""/>
  </r>
  <r>
    <n v="198"/>
    <x v="26"/>
    <s v="diciembre"/>
    <x v="2"/>
    <s v="MA722M001"/>
    <s v="722 Marrón"/>
    <n v="23"/>
    <n v="270"/>
    <n v="6210"/>
    <s v="Dispiasa"/>
    <n v="207"/>
    <m/>
    <n v="4761"/>
    <n v="1449"/>
  </r>
  <r>
    <n v="199"/>
    <x v="26"/>
    <s v="diciembre"/>
    <x v="5"/>
    <s v="SS003"/>
    <s v="Separadores de 3 mm"/>
    <n v="1"/>
    <n v="35"/>
    <n v="35"/>
    <s v="Silco"/>
    <n v="26"/>
    <m/>
    <n v="26"/>
    <n v="9"/>
  </r>
  <r>
    <n v="200"/>
    <x v="26"/>
    <s v="diciembre"/>
    <x v="5"/>
    <s v="SS005"/>
    <s v="Separadores de 5 mm"/>
    <n v="1"/>
    <n v="35"/>
    <n v="35"/>
    <s v="Silco"/>
    <n v="22"/>
    <m/>
    <n v="22"/>
    <n v="13"/>
  </r>
  <r>
    <n v="201"/>
    <x v="26"/>
    <s v="diciembre"/>
    <x v="6"/>
    <s v="MPPM"/>
    <s v="Porcelana Maya "/>
    <n v="5"/>
    <n v="60"/>
    <n v="300"/>
    <s v="Martinez"/>
    <n v="33.333333333333336"/>
    <m/>
    <n v="166.66666666666669"/>
    <n v="133.33333333333331"/>
  </r>
  <r>
    <n v="202"/>
    <x v="26"/>
    <s v="diciembre"/>
    <x v="1"/>
    <s v="HCPIPW58"/>
    <s v="Piso Incenor Plain White 58x58"/>
    <n v="16"/>
    <n v="255"/>
    <n v="4080"/>
    <s v="Halcón"/>
    <n v="225"/>
    <m/>
    <n v="3600"/>
    <n v="480"/>
  </r>
  <r>
    <n v="203"/>
    <x v="26"/>
    <s v="diciembre"/>
    <x v="4"/>
    <s v="CBDBP001"/>
    <s v="Drytec Bond Plus"/>
    <n v="6"/>
    <n v="155"/>
    <n v="930"/>
    <s v="Comasa"/>
    <n v="127"/>
    <m/>
    <n v="762"/>
    <n v="168"/>
  </r>
  <r>
    <n v="204"/>
    <x v="26"/>
    <s v="diciembre"/>
    <x v="0"/>
    <s v="APPK001"/>
    <s v="Plasterbond Klebe"/>
    <n v="3.2"/>
    <n v="100"/>
    <n v="320"/>
    <s v="Aginsa"/>
    <n v="80"/>
    <m/>
    <n v="256"/>
    <n v="64"/>
  </r>
  <r>
    <n v="205"/>
    <x v="26"/>
    <s v="diciembre"/>
    <x v="6"/>
    <s v="MPPM"/>
    <s v="Porcelana Maya "/>
    <n v="4"/>
    <n v="60"/>
    <n v="240"/>
    <s v="Martinez"/>
    <n v="33.333333333333336"/>
    <m/>
    <n v="133.33333333333334"/>
    <n v="106.66666666666666"/>
  </r>
  <r>
    <n v="206"/>
    <x v="26"/>
    <s v="diciembre"/>
    <x v="5"/>
    <s v="SS003"/>
    <s v="Separadores de 3 mm"/>
    <n v="1"/>
    <n v="35"/>
    <n v="35"/>
    <s v="Silco"/>
    <n v="26"/>
    <m/>
    <n v="26"/>
    <n v="9"/>
  </r>
  <r>
    <n v="207"/>
    <x v="26"/>
    <s v="diciembre"/>
    <x v="14"/>
    <s v="ROE001"/>
    <s v="Esponja"/>
    <n v="1"/>
    <n v="35"/>
    <n v="35"/>
    <s v="Rodriguez"/>
    <n v="25"/>
    <m/>
    <n v="25"/>
    <n v="10"/>
  </r>
  <r>
    <n v="208"/>
    <x v="26"/>
    <s v="diciembre"/>
    <x v="1"/>
    <s v="CCCB001"/>
    <s v="Carrara Blanco"/>
    <n v="40"/>
    <n v="265"/>
    <n v="10600"/>
    <s v="Comasa"/>
    <n v="237"/>
    <m/>
    <n v="9480"/>
    <n v="1120"/>
  </r>
  <r>
    <n v="209"/>
    <x v="27"/>
    <s v="diciembre"/>
    <x v="1"/>
    <s v="MC722A001"/>
    <s v="722 Azul"/>
    <n v="2"/>
    <n v="240"/>
    <n v="480"/>
    <s v="Dispiasa"/>
    <n v="207"/>
    <m/>
    <n v="414"/>
    <n v="66"/>
  </r>
  <r>
    <n v="210"/>
    <x v="27"/>
    <s v="diciembre"/>
    <x v="1"/>
    <s v="MCDB001"/>
    <s v="Dubai Beige"/>
    <n v="1.3333333333333333"/>
    <n v="300"/>
    <n v="400"/>
    <s v="Dispiasa"/>
    <n v="268"/>
    <m/>
    <n v="357.33333333333331"/>
    <n v="42.666666666666686"/>
  </r>
  <r>
    <n v="211"/>
    <x v="27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212"/>
    <x v="27"/>
    <s v="diciembre"/>
    <x v="4"/>
    <s v="CBDBP001"/>
    <s v="Drytec Bond Plus"/>
    <n v="1"/>
    <n v="155"/>
    <n v="155"/>
    <s v="Comasa"/>
    <n v="127"/>
    <m/>
    <n v="127"/>
    <n v="28"/>
  </r>
  <r>
    <n v="213"/>
    <x v="27"/>
    <s v="diciembre"/>
    <x v="2"/>
    <s v="CAAPB001"/>
    <s v="Andes Plus Blanco"/>
    <n v="0.125"/>
    <n v="300"/>
    <n v="37.5"/>
    <s v="Comasa"/>
    <n v="272"/>
    <m/>
    <n v="34"/>
    <n v="3.5"/>
  </r>
  <r>
    <n v="214"/>
    <x v="27"/>
    <s v="diciembre"/>
    <x v="1"/>
    <s v="MCPN001"/>
    <s v="Palestina negro"/>
    <n v="0.44444444444444442"/>
    <n v="300"/>
    <n v="133.33333333333331"/>
    <s v="Dispiasa"/>
    <n v="268"/>
    <m/>
    <n v="119.1111111111111"/>
    <n v="14.222222222222214"/>
  </r>
  <r>
    <n v="215"/>
    <x v="27"/>
    <s v="diciembre"/>
    <x v="7"/>
    <s v="MIAREB001"/>
    <s v="Asiento Redondo Ecoline Blanco"/>
    <n v="1"/>
    <n v="400"/>
    <n v="400"/>
    <s v="Dispiasa"/>
    <n v="311"/>
    <m/>
    <n v="311"/>
    <n v="89"/>
  </r>
  <r>
    <n v="216"/>
    <x v="27"/>
    <s v="diciembre"/>
    <x v="1"/>
    <s v="MCMV001"/>
    <s v="Mosaico Verde"/>
    <n v="1"/>
    <n v="300"/>
    <n v="300"/>
    <s v="Dispiasa"/>
    <n v="268"/>
    <m/>
    <n v="268"/>
    <n v="32"/>
  </r>
  <r>
    <n v="217"/>
    <x v="27"/>
    <s v="diciembre"/>
    <x v="14"/>
    <s v="ROAM001"/>
    <s v="Ácido Muriático"/>
    <n v="2"/>
    <n v="60"/>
    <n v="120"/>
    <s v="Rodriguez"/>
    <n v="50.5"/>
    <m/>
    <n v="101"/>
    <n v="19"/>
  </r>
  <r>
    <n v="218"/>
    <x v="27"/>
    <s v="diciembre"/>
    <x v="1"/>
    <s v="MCFM001"/>
    <s v="Florencia Marrón"/>
    <n v="1"/>
    <n v="300"/>
    <n v="300"/>
    <s v="Dispiasa"/>
    <n v="268"/>
    <m/>
    <n v="268"/>
    <n v="32"/>
  </r>
  <r>
    <n v="219"/>
    <x v="27"/>
    <s v="diciembre"/>
    <x v="1"/>
    <s v="HCPIPW58"/>
    <s v="Piso Incenor Plain White 58x58"/>
    <n v="11.151999999999999"/>
    <n v="250"/>
    <n v="2788"/>
    <s v="Halcón"/>
    <n v="225"/>
    <m/>
    <n v="2509.1999999999998"/>
    <n v="278.80000000000018"/>
  </r>
  <r>
    <n v="220"/>
    <x v="27"/>
    <s v="diciembre"/>
    <x v="7"/>
    <s v="MIA001"/>
    <s v="Inodoro Aqua Blanco"/>
    <n v="1"/>
    <n v="1650"/>
    <n v="1650"/>
    <s v="Dispiasa"/>
    <n v="1440"/>
    <m/>
    <n v="1440"/>
    <n v="210"/>
  </r>
  <r>
    <n v="221"/>
    <x v="27"/>
    <s v="diciembre"/>
    <x v="1"/>
    <s v="MCFB001"/>
    <s v="Florencia Beige"/>
    <n v="3"/>
    <n v="300"/>
    <n v="900"/>
    <s v="Dispiasa"/>
    <n v="268"/>
    <m/>
    <n v="804"/>
    <n v="96"/>
  </r>
  <r>
    <n v="222"/>
    <x v="27"/>
    <s v="diciembre"/>
    <x v="4"/>
    <s v="CBDBP001"/>
    <s v="Drytec Bond Plus"/>
    <n v="2"/>
    <n v="155"/>
    <n v="310"/>
    <s v="Comasa"/>
    <n v="127"/>
    <m/>
    <n v="254"/>
    <n v="56"/>
  </r>
  <r>
    <n v="223"/>
    <x v="27"/>
    <s v="diciembre"/>
    <x v="1"/>
    <s v="MC722A001"/>
    <s v="722 Azul"/>
    <n v="11"/>
    <n v="240"/>
    <n v="2640"/>
    <s v="Dispiasa"/>
    <n v="207"/>
    <m/>
    <n v="2277"/>
    <n v="363"/>
  </r>
  <r>
    <n v="224"/>
    <x v="27"/>
    <s v="diciembre"/>
    <x v="4"/>
    <s v="CBDBP001"/>
    <s v="Drytec Bond Plus"/>
    <n v="2"/>
    <n v="155"/>
    <n v="310"/>
    <s v="Comasa"/>
    <n v="127"/>
    <m/>
    <n v="254"/>
    <n v="56"/>
  </r>
  <r>
    <n v="225"/>
    <x v="27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226"/>
    <x v="27"/>
    <s v="diciembre"/>
    <x v="5"/>
    <s v="SS005"/>
    <s v="Separadores de 5 mm"/>
    <n v="1"/>
    <n v="35"/>
    <n v="35"/>
    <s v="Silco"/>
    <n v="22"/>
    <m/>
    <n v="22"/>
    <n v="13"/>
  </r>
  <r>
    <n v="227"/>
    <x v="27"/>
    <s v="diciembre"/>
    <x v="1"/>
    <s v="CCLD17100"/>
    <s v="Linea Design Pd-17100 Café"/>
    <n v="12"/>
    <n v="250"/>
    <n v="3000"/>
    <s v="Comasa"/>
    <n v="222"/>
    <m/>
    <n v="2664"/>
    <n v="336"/>
  </r>
  <r>
    <n v="228"/>
    <x v="27"/>
    <s v="diciembre"/>
    <x v="5"/>
    <s v="SS005"/>
    <s v="Separadores de 5 mm"/>
    <n v="1"/>
    <n v="35"/>
    <n v="35"/>
    <s v="Silco"/>
    <n v="22"/>
    <m/>
    <n v="22"/>
    <n v="13"/>
  </r>
  <r>
    <n v="229"/>
    <x v="27"/>
    <s v="diciembre"/>
    <x v="6"/>
    <s v="MPPM"/>
    <s v="Porcelana Maya "/>
    <n v="1"/>
    <n v="60"/>
    <n v="60"/>
    <s v="Martinez"/>
    <n v="33.333333333333336"/>
    <m/>
    <n v="33.333333333333336"/>
    <n v="26.666666666666664"/>
  </r>
  <r>
    <n v="230"/>
    <x v="27"/>
    <s v="diciembre"/>
    <x v="1"/>
    <s v="MCAB045"/>
    <s v="Amazonas Beige"/>
    <n v="2"/>
    <n v="360"/>
    <n v="720"/>
    <s v="Dispiasa"/>
    <n v="306"/>
    <m/>
    <n v="612"/>
    <n v="108"/>
  </r>
  <r>
    <n v="231"/>
    <x v="27"/>
    <s v="diciembre"/>
    <x v="1"/>
    <s v="CCBB001"/>
    <s v="Babilonia Blanco"/>
    <n v="3"/>
    <n v="240"/>
    <n v="720"/>
    <s v="Comasa"/>
    <n v="216.82"/>
    <m/>
    <n v="650.46"/>
    <n v="69.5399999999999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G21" firstHeaderRow="1" firstDataRow="4" firstDataCol="1"/>
  <pivotFields count="15">
    <pivotField dataField="1"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">
        <item x="2"/>
        <item x="11"/>
        <item x="4"/>
        <item x="1"/>
        <item x="13"/>
        <item x="10"/>
        <item x="7"/>
        <item x="3"/>
        <item x="12"/>
        <item x="14"/>
        <item x="15"/>
        <item x="0"/>
        <item x="6"/>
        <item x="8"/>
        <item x="9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14"/>
    <field x="1"/>
    <field x="-2"/>
  </colFields>
  <colItems count="6">
    <i>
      <x v="11"/>
      <x v="1048832"/>
      <x/>
    </i>
    <i r="2" i="1">
      <x v="1"/>
    </i>
    <i>
      <x v="12"/>
      <x v="1048832"/>
      <x/>
    </i>
    <i r="2" i="1">
      <x v="1"/>
    </i>
    <i t="grand">
      <x/>
    </i>
    <i t="grand" i="1">
      <x/>
    </i>
  </colItems>
  <dataFields count="2">
    <dataField name="Suma de Total" fld="8" baseField="0" baseItem="0"/>
    <dataField name="Cuenta de Item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Productos" displayName="Productos" ref="A1:M200" totalsRowShown="0">
  <autoFilter ref="A1:M200"/>
  <sortState ref="A2:M200">
    <sortCondition ref="H1:H200"/>
  </sortState>
  <tableColumns count="13">
    <tableColumn id="1" name="Codigo de Producto"/>
    <tableColumn id="13" name="Distribuidor"/>
    <tableColumn id="2" name="Tipo"/>
    <tableColumn id="3" name="Descripción"/>
    <tableColumn id="4" name="Existencias Iniciales"/>
    <tableColumn id="5" name="Entradas" dataDxfId="31">
      <calculatedColumnFormula>+SUMIF(Compras[[#All],[Codigo de Producto]],Productos[[#All],[Codigo de Producto]],Compras[[#All],[Cantidad]])</calculatedColumnFormula>
    </tableColumn>
    <tableColumn id="6" name="Salidas" dataDxfId="30">
      <calculatedColumnFormula>+SUMIF(Ventas[[#All],[Codigo de Producto]],Productos[[#All],[Codigo de Producto]],Ventas[[#All],[Cantidad]])</calculatedColumnFormula>
    </tableColumn>
    <tableColumn id="7" name="Stock" dataDxfId="29">
      <calculatedColumnFormula>+Productos[[#This Row],[Existencias Iniciales]]+Productos[[#This Row],[Entradas]]-Productos[[#This Row],[Salidas]]</calculatedColumnFormula>
    </tableColumn>
    <tableColumn id="8" name="Costo Unitario"/>
    <tableColumn id="9" name="Total" dataDxfId="28">
      <calculatedColumnFormula>IF(Productos[[#This Row],[Stock]]&lt;0,"",+Productos[[#This Row],[Stock]]*Productos[[#This Row],[Costo Unitario]])</calculatedColumnFormula>
    </tableColumn>
    <tableColumn id="10" name="Precio Unitario"/>
    <tableColumn id="11" name="Total2" dataDxfId="27">
      <calculatedColumnFormula>IF(Productos[[#This Row],[Stock]]&lt;0,"",+Productos[[#This Row],[Stock]]*Productos[[#This Row],[Precio Unitario]])</calculatedColumnFormula>
    </tableColumn>
    <tableColumn id="12" name="Utilidad" dataDxfId="26">
      <calculatedColumnFormula>IF(Productos[[#This Row],[Stock]]&lt;0,"",+Productos[[#This Row],[Total2]]-Productos[[#This Row],[Total]])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Compras" displayName="Compras" ref="A915:M983" totalsRowShown="0" headerRowDxfId="25" headerRowBorderDxfId="24" tableBorderDxfId="23" headerRowCellStyle="40% - Énfasis5">
  <autoFilter ref="A915:M983">
    <filterColumn colId="3">
      <filters>
        <filter val="Comasa"/>
      </filters>
    </filterColumn>
  </autoFilter>
  <sortState ref="A916:M981">
    <sortCondition ref="B915:B981"/>
  </sortState>
  <tableColumns count="13">
    <tableColumn id="1" name="Item"/>
    <tableColumn id="2" name="Fecha "/>
    <tableColumn id="3" name="Mes" dataDxfId="22">
      <calculatedColumnFormula>IF(Compras[[#This Row],[Fecha ]]="","",+TEXT(B916,"mmmm"))</calculatedColumnFormula>
    </tableColumn>
    <tableColumn id="4" name="Distribuidor" dataDxfId="21">
      <calculatedColumnFormula>IF(Compras[[#This Row],[Codigo de Producto]]="","",+VLOOKUP(Compras[[#This Row],[Codigo de Producto]],Productos[#All],2,FALSE))</calculatedColumnFormula>
    </tableColumn>
    <tableColumn id="5" name="Tipo" dataDxfId="20">
      <calculatedColumnFormula>IF(Compras[[#This Row],[Codigo de Producto]]="","",+VLOOKUP(Compras[[#This Row],[Codigo de Producto]],Productos[#All],3,FALSE))</calculatedColumnFormula>
    </tableColumn>
    <tableColumn id="13" name="Codigo de Producto"/>
    <tableColumn id="6" name="Descripcion" dataDxfId="19">
      <calculatedColumnFormula>IF(Compras[[#This Row],[Codigo de Producto]]="","",+VLOOKUP(Compras[[#This Row],[Codigo de Producto]],Productos[#All],4,FALSE))</calculatedColumnFormula>
    </tableColumn>
    <tableColumn id="7" name="Cantidad"/>
    <tableColumn id="8" name="Precio"/>
    <tableColumn id="9" name="Total" dataDxfId="18">
      <calculatedColumnFormula>+Compras[[#This Row],[Cantidad]]*Compras[[#This Row],[Precio]]</calculatedColumnFormula>
    </tableColumn>
    <tableColumn id="10" name="Precio de Venta"/>
    <tableColumn id="11" name="Total de Venta" dataDxfId="17">
      <calculatedColumnFormula>+H916*K916</calculatedColumnFormula>
    </tableColumn>
    <tableColumn id="12" name="Utilidad" dataDxfId="16">
      <calculatedColumnFormula>+L916-J916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Ventas" displayName="Ventas" ref="A3849:N4385" totalsRowShown="0" headerRowDxfId="14" headerRowBorderDxfId="13" tableBorderDxfId="12" headerRowCellStyle="40% - Énfasis5">
  <autoFilter ref="A3849:N4385"/>
  <tableColumns count="14">
    <tableColumn id="1" name="Item"/>
    <tableColumn id="2" name="Fecha "/>
    <tableColumn id="3" name="Mes" dataDxfId="11">
      <calculatedColumnFormula>IF(Ventas[[#This Row],[Fecha ]]="","",+TEXT(B3850,"mmmm"))</calculatedColumnFormula>
    </tableColumn>
    <tableColumn id="4" name="Tipo" dataDxfId="10">
      <calculatedColumnFormula>IFERROR(+VLOOKUP(Ventas[[#This Row],[Codigo de Producto]],Productos[#All],3,FALSE),"")</calculatedColumnFormula>
    </tableColumn>
    <tableColumn id="5" name="Codigo de Producto"/>
    <tableColumn id="6" name="Descripcion" dataDxfId="9">
      <calculatedColumnFormula>IFERROR(+VLOOKUP(Ventas[[#This Row],[Codigo de Producto]],Productos[#All],4,FALSE),"")</calculatedColumnFormula>
    </tableColumn>
    <tableColumn id="7" name="Cantidad"/>
    <tableColumn id="8" name="Precio"/>
    <tableColumn id="9" name="Total" dataDxfId="8">
      <calculatedColumnFormula>IF(Ventas[[#This Row],[Cantidad]]="","",+Ventas[[#This Row],[Cantidad]]*Ventas[[#This Row],[Precio]])</calculatedColumnFormula>
    </tableColumn>
    <tableColumn id="10" name="Distribuidor" dataDxfId="7">
      <calculatedColumnFormula>IFERROR(+VLOOKUP(Ventas[[#This Row],[Codigo de Producto]],Productos[#All],2,FALSE),"")</calculatedColumnFormula>
    </tableColumn>
    <tableColumn id="11" name="Precio de Compra" dataDxfId="6">
      <calculatedColumnFormula>IFERROR(+VLOOKUP(Ventas[[#This Row],[Codigo de Producto]],Productos[#All],9,FALSE),"")</calculatedColumnFormula>
    </tableColumn>
    <tableColumn id="12" name="Factura"/>
    <tableColumn id="13" name="Total de Compra" dataDxfId="5">
      <calculatedColumnFormula>+IF(K3850=0,(""),(K3850*G3850))</calculatedColumnFormula>
    </tableColumn>
    <tableColumn id="14" name="Utilidad" dataDxfId="4">
      <calculatedColumnFormula>+IF(K3850=0,(""),(I3850-M3850))</calculatedColumnFormula>
    </tableColumn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1" name="Ventas2" displayName="Ventas2" ref="A1:N3841" totalsRowShown="0" headerRowDxfId="3" headerRowBorderDxfId="2" tableBorderDxfId="1" headerRowCellStyle="40% - Énfasis5">
  <autoFilter ref="A1:N3841"/>
  <tableColumns count="14">
    <tableColumn id="1" name="Item"/>
    <tableColumn id="2" name="Fecha " dataDxfId="0"/>
    <tableColumn id="3" name="Mes">
      <calculatedColumnFormula>+TEXT(B2,"mmmm")</calculatedColumnFormula>
    </tableColumn>
    <tableColumn id="4" name="Tipo"/>
    <tableColumn id="5" name="Codigo de Producto"/>
    <tableColumn id="6" name="Descripcion"/>
    <tableColumn id="7" name="Cantidad"/>
    <tableColumn id="8" name="Precio"/>
    <tableColumn id="9" name="Total">
      <calculatedColumnFormula>+G2*H2</calculatedColumnFormula>
    </tableColumn>
    <tableColumn id="10" name="Distribuidor"/>
    <tableColumn id="11" name="Precio de Compra"/>
    <tableColumn id="12" name="Factura"/>
    <tableColumn id="13" name="Total de Compra">
      <calculatedColumnFormula>+IF(K2=0,(""),(K2*G2))</calculatedColumnFormula>
    </tableColumn>
    <tableColumn id="14" name="Utilidad">
      <calculatedColumnFormula>+IF(K2=0,(""),(I2-M2))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C1" workbookViewId="0">
      <pane ySplit="1" topLeftCell="A2" activePane="bottomLeft" state="frozen"/>
      <selection pane="bottomLeft" activeCell="G3" sqref="G3"/>
    </sheetView>
  </sheetViews>
  <sheetFormatPr baseColWidth="10" defaultRowHeight="15" x14ac:dyDescent="0.25"/>
  <cols>
    <col min="1" max="2" width="20.42578125" customWidth="1"/>
    <col min="3" max="3" width="19.85546875" customWidth="1"/>
    <col min="4" max="4" width="42.42578125" bestFit="1" customWidth="1"/>
    <col min="5" max="5" width="20.5703125" customWidth="1"/>
    <col min="9" max="9" width="15.85546875" customWidth="1"/>
    <col min="11" max="11" width="16.42578125" customWidth="1"/>
  </cols>
  <sheetData>
    <row r="1" spans="1:13" x14ac:dyDescent="0.25">
      <c r="A1" t="s">
        <v>608</v>
      </c>
      <c r="B1" t="s">
        <v>6</v>
      </c>
      <c r="C1" t="s">
        <v>12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690</v>
      </c>
      <c r="J1" t="s">
        <v>5</v>
      </c>
      <c r="K1" t="s">
        <v>689</v>
      </c>
      <c r="L1" t="s">
        <v>709</v>
      </c>
      <c r="M1" t="s">
        <v>11</v>
      </c>
    </row>
    <row r="2" spans="1:13" x14ac:dyDescent="0.25">
      <c r="A2" t="s">
        <v>856</v>
      </c>
      <c r="B2" t="s">
        <v>23</v>
      </c>
      <c r="C2" t="s">
        <v>23</v>
      </c>
      <c r="D2" t="s">
        <v>344</v>
      </c>
      <c r="E2">
        <v>56</v>
      </c>
      <c r="F2" s="57">
        <f>+SUMIF(Compras[[#All],[Codigo de Producto]],Productos[[#All],[Codigo de Producto]],Compras[[#All],[Cantidad]])</f>
        <v>0</v>
      </c>
      <c r="G2" s="57">
        <f>+SUMIF(Ventas[[#All],[Codigo de Producto]],Productos[[#All],[Codigo de Producto]],Ventas[[#All],[Cantidad]])</f>
        <v>56</v>
      </c>
      <c r="H2" s="57">
        <f>+Productos[[#This Row],[Existencias Iniciales]]+Productos[[#This Row],[Entradas]]-Productos[[#This Row],[Salidas]]</f>
        <v>0</v>
      </c>
      <c r="I2">
        <f ca="1">+SUMIF(Compras[[#All],[Codigo de Producto]],Productos[[#All],[Codigo de Producto]],Compras[[#Headers],[Precio]])</f>
        <v>0</v>
      </c>
      <c r="J2" s="57">
        <f ca="1">IF(Productos[[#This Row],[Stock]]&lt;0,"",+Productos[[#This Row],[Stock]]*Productos[[#This Row],[Costo Unitario]])</f>
        <v>0</v>
      </c>
      <c r="K2">
        <v>80</v>
      </c>
      <c r="L2" s="57">
        <f>IF(Productos[[#This Row],[Stock]]&lt;0,"",+Productos[[#This Row],[Stock]]*Productos[[#This Row],[Precio Unitario]])</f>
        <v>0</v>
      </c>
      <c r="M2" s="57">
        <f ca="1">IF(Productos[[#This Row],[Stock]]&lt;0,"",+Productos[[#This Row],[Total2]]-Productos[[#This Row],[Total]])</f>
        <v>0</v>
      </c>
    </row>
    <row r="3" spans="1:13" x14ac:dyDescent="0.25">
      <c r="A3" t="s">
        <v>642</v>
      </c>
      <c r="B3" t="s">
        <v>167</v>
      </c>
      <c r="C3" t="s">
        <v>55</v>
      </c>
      <c r="D3" t="s">
        <v>416</v>
      </c>
      <c r="E3">
        <f>4*2+(16/10)</f>
        <v>9.6</v>
      </c>
      <c r="F3">
        <f>+SUMIF(Compras[[#All],[Codigo de Producto]],Productos[[#All],[Codigo de Producto]],Compras[[#All],[Cantidad]])</f>
        <v>20</v>
      </c>
      <c r="G3">
        <f>+SUMIF(Ventas[[#All],[Codigo de Producto]],Productos[[#All],[Codigo de Producto]],Ventas[[#All],[Cantidad]])</f>
        <v>42</v>
      </c>
      <c r="H3">
        <f>+Productos[[#This Row],[Existencias Iniciales]]+Productos[[#This Row],[Entradas]]-Productos[[#This Row],[Salidas]]</f>
        <v>-12.399999999999999</v>
      </c>
      <c r="I3">
        <v>207</v>
      </c>
      <c r="J3" t="str">
        <f>IF(Productos[[#This Row],[Stock]]&lt;0,"",+Productos[[#This Row],[Stock]]*Productos[[#This Row],[Costo Unitario]])</f>
        <v/>
      </c>
      <c r="K3">
        <v>270</v>
      </c>
      <c r="L3" t="str">
        <f>IF(Productos[[#This Row],[Stock]]&lt;0,"",+Productos[[#This Row],[Stock]]*Productos[[#This Row],[Precio Unitario]])</f>
        <v/>
      </c>
      <c r="M3" t="str">
        <f>IF(Productos[[#This Row],[Stock]]&lt;0,"",+Productos[[#This Row],[Total2]]-Productos[[#This Row],[Total]])</f>
        <v/>
      </c>
    </row>
    <row r="4" spans="1:13" x14ac:dyDescent="0.25">
      <c r="A4" t="s">
        <v>871</v>
      </c>
      <c r="B4" t="s">
        <v>99</v>
      </c>
      <c r="C4" t="s">
        <v>617</v>
      </c>
      <c r="D4" t="s">
        <v>872</v>
      </c>
      <c r="F4" s="57">
        <f>+SUMIF(Compras[[#All],[Codigo de Producto]],Productos[[#All],[Codigo de Producto]],Compras[[#All],[Cantidad]])</f>
        <v>201</v>
      </c>
      <c r="G4" s="57">
        <f>+SUMIF(Ventas[[#All],[Codigo de Producto]],Productos[[#All],[Codigo de Producto]],Ventas[[#All],[Cantidad]])</f>
        <v>209.322</v>
      </c>
      <c r="H4" s="57">
        <f>+Productos[[#This Row],[Existencias Iniciales]]+Productos[[#This Row],[Entradas]]-Productos[[#This Row],[Salidas]]</f>
        <v>-8.3220000000000027</v>
      </c>
      <c r="I4">
        <f ca="1">+SUMIF(Compras[[#All],[Codigo de Producto]],Productos[[#All],[Codigo de Producto]],Compras[[#Headers],[Precio]])</f>
        <v>225</v>
      </c>
      <c r="J4" s="57" t="str">
        <f>IF(Productos[[#This Row],[Stock]]&lt;0,"",+Productos[[#This Row],[Stock]]*Productos[[#This Row],[Costo Unitario]])</f>
        <v/>
      </c>
      <c r="K4">
        <v>255</v>
      </c>
      <c r="L4" s="57" t="str">
        <f>IF(Productos[[#This Row],[Stock]]&lt;0,"",+Productos[[#This Row],[Stock]]*Productos[[#This Row],[Precio Unitario]])</f>
        <v/>
      </c>
      <c r="M4" s="57" t="str">
        <f>IF(Productos[[#This Row],[Stock]]&lt;0,"",+Productos[[#This Row],[Total2]]-Productos[[#This Row],[Total]])</f>
        <v/>
      </c>
    </row>
    <row r="5" spans="1:13" x14ac:dyDescent="0.25">
      <c r="A5" t="s">
        <v>846</v>
      </c>
      <c r="B5" t="s">
        <v>167</v>
      </c>
      <c r="C5" t="s">
        <v>64</v>
      </c>
      <c r="D5" t="s">
        <v>847</v>
      </c>
      <c r="E5">
        <f>3/9*1.19</f>
        <v>0.39666666666666661</v>
      </c>
      <c r="F5" s="57">
        <f>+SUMIF(Compras[[#All],[Codigo de Producto]],Productos[[#All],[Codigo de Producto]],Compras[[#All],[Cantidad]])</f>
        <v>40.980000000000004</v>
      </c>
      <c r="G5" s="57">
        <f>+SUMIF(Ventas[[#All],[Codigo de Producto]],Productos[[#All],[Codigo de Producto]],Ventas[[#All],[Cantidad]])</f>
        <v>45.312222222222218</v>
      </c>
      <c r="H5" s="57">
        <f>+Productos[[#This Row],[Existencias Iniciales]]+Productos[[#This Row],[Entradas]]-Productos[[#This Row],[Salidas]]</f>
        <v>-3.9355555555555455</v>
      </c>
      <c r="I5">
        <v>335</v>
      </c>
      <c r="J5" s="57" t="str">
        <f>IF(Productos[[#This Row],[Stock]]&lt;0,"",+Productos[[#This Row],[Stock]]*Productos[[#This Row],[Costo Unitario]])</f>
        <v/>
      </c>
      <c r="K5">
        <v>430</v>
      </c>
      <c r="L5" s="57" t="str">
        <f>IF(Productos[[#This Row],[Stock]]&lt;0,"",+Productos[[#This Row],[Stock]]*Productos[[#This Row],[Precio Unitario]])</f>
        <v/>
      </c>
      <c r="M5" s="57" t="str">
        <f>IF(Productos[[#This Row],[Stock]]&lt;0,"",+Productos[[#This Row],[Total2]]-Productos[[#This Row],[Total]])</f>
        <v/>
      </c>
    </row>
    <row r="6" spans="1:13" x14ac:dyDescent="0.25">
      <c r="A6" t="s">
        <v>870</v>
      </c>
      <c r="B6" t="s">
        <v>163</v>
      </c>
      <c r="C6" t="s">
        <v>55</v>
      </c>
      <c r="D6" t="s">
        <v>549</v>
      </c>
      <c r="F6" s="57">
        <f>+SUMIF(Compras[[#All],[Codigo de Producto]],Productos[[#All],[Codigo de Producto]],Compras[[#All],[Cantidad]])</f>
        <v>10</v>
      </c>
      <c r="G6" s="57">
        <f>+SUMIF(Ventas[[#All],[Codigo de Producto]],Productos[[#All],[Codigo de Producto]],Ventas[[#All],[Cantidad]])</f>
        <v>12.3</v>
      </c>
      <c r="H6" s="57">
        <f>+Productos[[#This Row],[Existencias Iniciales]]+Productos[[#This Row],[Entradas]]-Productos[[#This Row],[Salidas]]</f>
        <v>-2.3000000000000007</v>
      </c>
      <c r="I6">
        <f ca="1">+SUMIF(Compras[[#All],[Codigo de Producto]],Productos[[#All],[Codigo de Producto]],Compras[[#Headers],[Precio]])</f>
        <v>272</v>
      </c>
      <c r="J6" s="57" t="str">
        <f>IF(Productos[[#This Row],[Stock]]&lt;0,"",+Productos[[#This Row],[Stock]]*Productos[[#This Row],[Costo Unitario]])</f>
        <v/>
      </c>
      <c r="K6">
        <v>300</v>
      </c>
      <c r="L6" s="57" t="str">
        <f>IF(Productos[[#This Row],[Stock]]&lt;0,"",+Productos[[#This Row],[Stock]]*Productos[[#This Row],[Precio Unitario]])</f>
        <v/>
      </c>
      <c r="M6" s="57" t="str">
        <f>IF(Productos[[#This Row],[Stock]]&lt;0,"",+Productos[[#This Row],[Total2]]-Productos[[#This Row],[Total]])</f>
        <v/>
      </c>
    </row>
    <row r="7" spans="1:13" x14ac:dyDescent="0.25">
      <c r="A7" t="s">
        <v>645</v>
      </c>
      <c r="B7" t="s">
        <v>167</v>
      </c>
      <c r="C7" t="s">
        <v>617</v>
      </c>
      <c r="D7" t="s">
        <v>540</v>
      </c>
      <c r="E7">
        <v>-6.5</v>
      </c>
      <c r="F7">
        <f>+SUMIF(Compras[[#All],[Codigo de Producto]],Productos[[#All],[Codigo de Producto]],Compras[[#All],[Cantidad]])</f>
        <v>100</v>
      </c>
      <c r="G7">
        <f>+SUMIF(Ventas[[#All],[Codigo de Producto]],Productos[[#All],[Codigo de Producto]],Ventas[[#All],[Cantidad]])</f>
        <v>93.5</v>
      </c>
      <c r="H7">
        <f>+Productos[[#This Row],[Existencias Iniciales]]+Productos[[#This Row],[Entradas]]-Productos[[#This Row],[Salidas]]</f>
        <v>0</v>
      </c>
      <c r="I7">
        <v>207</v>
      </c>
      <c r="J7">
        <f>IF(Productos[[#This Row],[Stock]]&lt;0,"",+Productos[[#This Row],[Stock]]*Productos[[#This Row],[Costo Unitario]])</f>
        <v>0</v>
      </c>
      <c r="K7">
        <v>240</v>
      </c>
      <c r="L7">
        <f>IF(Productos[[#This Row],[Stock]]&lt;0,"",+Productos[[#This Row],[Stock]]*Productos[[#This Row],[Precio Unitario]])</f>
        <v>0</v>
      </c>
      <c r="M7">
        <f>IF(Productos[[#This Row],[Stock]]&lt;0,"",+Productos[[#This Row],[Total2]]-Productos[[#This Row],[Total]])</f>
        <v>0</v>
      </c>
    </row>
    <row r="8" spans="1:13" x14ac:dyDescent="0.25">
      <c r="A8" t="s">
        <v>904</v>
      </c>
      <c r="B8" t="s">
        <v>198</v>
      </c>
      <c r="C8" t="s">
        <v>92</v>
      </c>
      <c r="D8" t="s">
        <v>258</v>
      </c>
      <c r="E8">
        <v>1</v>
      </c>
      <c r="F8" s="57">
        <f>+SUMIF(Compras[[#All],[Codigo de Producto]],Productos[[#All],[Codigo de Producto]],Compras[[#All],[Cantidad]])</f>
        <v>0</v>
      </c>
      <c r="G8" s="57">
        <f>+SUMIF(Ventas[[#All],[Codigo de Producto]],Productos[[#All],[Codigo de Producto]],Ventas[[#All],[Cantidad]])</f>
        <v>1</v>
      </c>
      <c r="H8" s="57">
        <f>+Productos[[#This Row],[Existencias Iniciales]]+Productos[[#This Row],[Entradas]]-Productos[[#This Row],[Salidas]]</f>
        <v>0</v>
      </c>
      <c r="I8">
        <v>190</v>
      </c>
      <c r="J8" s="57">
        <f>IF(Productos[[#This Row],[Stock]]&lt;0,"",+Productos[[#This Row],[Stock]]*Productos[[#This Row],[Costo Unitario]])</f>
        <v>0</v>
      </c>
      <c r="K8">
        <v>275</v>
      </c>
      <c r="L8" s="57">
        <f>IF(Productos[[#This Row],[Stock]]&lt;0,"",+Productos[[#This Row],[Stock]]*Productos[[#This Row],[Precio Unitario]])</f>
        <v>0</v>
      </c>
      <c r="M8" s="57">
        <f>IF(Productos[[#This Row],[Stock]]&lt;0,"",+Productos[[#This Row],[Total2]]-Productos[[#This Row],[Total]])</f>
        <v>0</v>
      </c>
    </row>
    <row r="9" spans="1:13" x14ac:dyDescent="0.25">
      <c r="A9" t="s">
        <v>770</v>
      </c>
      <c r="B9" t="s">
        <v>395</v>
      </c>
      <c r="C9" t="s">
        <v>68</v>
      </c>
      <c r="D9" t="s">
        <v>760</v>
      </c>
      <c r="E9">
        <v>2</v>
      </c>
      <c r="F9" s="57">
        <f>+SUMIF(Compras[[#All],[Codigo de Producto]],Productos[[#All],[Codigo de Producto]],Compras[[#All],[Cantidad]])</f>
        <v>0</v>
      </c>
      <c r="G9" s="57">
        <f>+SUMIF(Ventas[[#All],[Codigo de Producto]],Productos[[#All],[Codigo de Producto]],Ventas[[#All],[Cantidad]])</f>
        <v>2</v>
      </c>
      <c r="H9" s="57">
        <f>+Productos[[#This Row],[Existencias Iniciales]]+Productos[[#This Row],[Entradas]]-Productos[[#This Row],[Salidas]]</f>
        <v>0</v>
      </c>
      <c r="I9">
        <f ca="1">+SUMIF(Compras[[#All],[Codigo de Producto]],Productos[[#All],[Codigo de Producto]],Compras[[#Headers],[Precio]])</f>
        <v>0</v>
      </c>
      <c r="J9" s="57">
        <f ca="1">IF(Productos[[#This Row],[Stock]]&lt;0,"",+Productos[[#This Row],[Stock]]*Productos[[#This Row],[Costo Unitario]])</f>
        <v>0</v>
      </c>
      <c r="K9">
        <v>25</v>
      </c>
      <c r="L9" s="57">
        <f>IF(Productos[[#This Row],[Stock]]&lt;0,"",+Productos[[#This Row],[Stock]]*Productos[[#This Row],[Precio Unitario]])</f>
        <v>0</v>
      </c>
      <c r="M9" s="57">
        <f ca="1">IF(Productos[[#This Row],[Stock]]&lt;0,"",+Productos[[#This Row],[Total2]]-Productos[[#This Row],[Total]])</f>
        <v>0</v>
      </c>
    </row>
    <row r="10" spans="1:13" x14ac:dyDescent="0.25">
      <c r="A10" t="s">
        <v>886</v>
      </c>
      <c r="B10" t="s">
        <v>862</v>
      </c>
      <c r="C10" t="s">
        <v>23</v>
      </c>
      <c r="D10" t="s">
        <v>66</v>
      </c>
      <c r="E10">
        <v>1</v>
      </c>
      <c r="F10" s="57">
        <f>+SUMIF(Compras[[#All],[Codigo de Producto]],Productos[[#All],[Codigo de Producto]],Compras[[#All],[Cantidad]])</f>
        <v>0</v>
      </c>
      <c r="G10" s="57">
        <f>+SUMIF(Ventas[[#All],[Codigo de Producto]],Productos[[#All],[Codigo de Producto]],Ventas[[#All],[Cantidad]])</f>
        <v>1</v>
      </c>
      <c r="H10" s="57">
        <f>+Productos[[#This Row],[Existencias Iniciales]]+Productos[[#This Row],[Entradas]]-Productos[[#This Row],[Salidas]]</f>
        <v>0</v>
      </c>
      <c r="I10">
        <v>100</v>
      </c>
      <c r="J10" s="57">
        <f>IF(Productos[[#This Row],[Stock]]&lt;0,"",+Productos[[#This Row],[Stock]]*Productos[[#This Row],[Costo Unitario]])</f>
        <v>0</v>
      </c>
      <c r="K10">
        <v>120</v>
      </c>
      <c r="L10" s="57">
        <f>IF(Productos[[#This Row],[Stock]]&lt;0,"",+Productos[[#This Row],[Stock]]*Productos[[#This Row],[Precio Unitario]])</f>
        <v>0</v>
      </c>
      <c r="M10" s="57">
        <f>IF(Productos[[#This Row],[Stock]]&lt;0,"",+Productos[[#This Row],[Total2]]-Productos[[#This Row],[Total]])</f>
        <v>0</v>
      </c>
    </row>
    <row r="11" spans="1:13" x14ac:dyDescent="0.25">
      <c r="A11" t="s">
        <v>732</v>
      </c>
      <c r="B11" t="s">
        <v>166</v>
      </c>
      <c r="C11" t="s">
        <v>92</v>
      </c>
      <c r="D11" t="s">
        <v>405</v>
      </c>
      <c r="E11">
        <v>1</v>
      </c>
      <c r="F11" s="57">
        <f>+SUMIF(Compras[[#All],[Codigo de Producto]],Productos[[#All],[Codigo de Producto]],Compras[[#All],[Cantidad]])</f>
        <v>0</v>
      </c>
      <c r="G11" s="57">
        <f>+SUMIF(Ventas[[#All],[Codigo de Producto]],Productos[[#All],[Codigo de Producto]],Ventas[[#All],[Cantidad]])</f>
        <v>1</v>
      </c>
      <c r="H11" s="57">
        <f>+Productos[[#This Row],[Existencias Iniciales]]+Productos[[#This Row],[Entradas]]-Productos[[#This Row],[Salidas]]</f>
        <v>0</v>
      </c>
      <c r="I11">
        <v>150</v>
      </c>
      <c r="J11">
        <f>IF(Productos[[#This Row],[Stock]]&lt;0,"",+Productos[[#This Row],[Stock]]*Productos[[#This Row],[Costo Unitario]])</f>
        <v>0</v>
      </c>
      <c r="K11">
        <v>230</v>
      </c>
      <c r="L11" s="57">
        <f>IF(Productos[[#This Row],[Stock]]&lt;0,"",+Productos[[#This Row],[Stock]]*Productos[[#This Row],[Precio Unitario]])</f>
        <v>0</v>
      </c>
      <c r="M11" s="57">
        <f>IF(Productos[[#This Row],[Stock]]&lt;0,"",+Productos[[#This Row],[Total2]]-Productos[[#This Row],[Total]])</f>
        <v>0</v>
      </c>
    </row>
    <row r="12" spans="1:13" x14ac:dyDescent="0.25">
      <c r="A12" t="s">
        <v>850</v>
      </c>
      <c r="B12" t="s">
        <v>167</v>
      </c>
      <c r="C12" t="s">
        <v>26</v>
      </c>
      <c r="D12" t="s">
        <v>849</v>
      </c>
      <c r="E12">
        <v>1.44</v>
      </c>
      <c r="F12" s="57">
        <f>+SUMIF(Compras[[#All],[Codigo de Producto]],Productos[[#All],[Codigo de Producto]],Compras[[#All],[Cantidad]])</f>
        <v>0</v>
      </c>
      <c r="G12" s="57">
        <f>+SUMIF(Ventas[[#All],[Codigo de Producto]],Productos[[#All],[Codigo de Producto]],Ventas[[#All],[Cantidad]])</f>
        <v>1.44</v>
      </c>
      <c r="H12" s="57">
        <f>+Productos[[#This Row],[Existencias Iniciales]]+Productos[[#This Row],[Entradas]]-Productos[[#This Row],[Salidas]]</f>
        <v>0</v>
      </c>
      <c r="I12">
        <v>350</v>
      </c>
      <c r="J12" s="57">
        <f>IF(Productos[[#This Row],[Stock]]&lt;0,"",+Productos[[#This Row],[Stock]]*Productos[[#This Row],[Costo Unitario]])</f>
        <v>0</v>
      </c>
      <c r="K12">
        <v>425</v>
      </c>
      <c r="L12" s="57">
        <f>IF(Productos[[#This Row],[Stock]]&lt;0,"",+Productos[[#This Row],[Stock]]*Productos[[#This Row],[Precio Unitario]])</f>
        <v>0</v>
      </c>
      <c r="M12" s="57">
        <f>IF(Productos[[#This Row],[Stock]]&lt;0,"",+Productos[[#This Row],[Total2]]-Productos[[#This Row],[Total]])</f>
        <v>0</v>
      </c>
    </row>
    <row r="13" spans="1:13" x14ac:dyDescent="0.25">
      <c r="A13" t="s">
        <v>906</v>
      </c>
      <c r="B13" t="s">
        <v>198</v>
      </c>
      <c r="C13" t="s">
        <v>23</v>
      </c>
      <c r="D13" t="s">
        <v>907</v>
      </c>
      <c r="E13">
        <v>2</v>
      </c>
      <c r="F13" s="57">
        <f>+SUMIF(Compras[[#All],[Codigo de Producto]],Productos[[#All],[Codigo de Producto]],Compras[[#All],[Cantidad]])</f>
        <v>0</v>
      </c>
      <c r="G13" s="57">
        <f>+SUMIF(Ventas[[#All],[Codigo de Producto]],Productos[[#All],[Codigo de Producto]],Ventas[[#All],[Cantidad]])</f>
        <v>2</v>
      </c>
      <c r="H13" s="57">
        <f>+Productos[[#This Row],[Existencias Iniciales]]+Productos[[#This Row],[Entradas]]-Productos[[#This Row],[Salidas]]</f>
        <v>0</v>
      </c>
      <c r="I13">
        <v>20</v>
      </c>
      <c r="J13" s="57">
        <f>IF(Productos[[#This Row],[Stock]]&lt;0,"",+Productos[[#This Row],[Stock]]*Productos[[#This Row],[Costo Unitario]])</f>
        <v>0</v>
      </c>
      <c r="K13">
        <v>25</v>
      </c>
      <c r="L13" s="57">
        <f>IF(Productos[[#This Row],[Stock]]&lt;0,"",+Productos[[#This Row],[Stock]]*Productos[[#This Row],[Precio Unitario]])</f>
        <v>0</v>
      </c>
      <c r="M13" s="57">
        <f>IF(Productos[[#This Row],[Stock]]&lt;0,"",+Productos[[#This Row],[Total2]]-Productos[[#This Row],[Total]])</f>
        <v>0</v>
      </c>
    </row>
    <row r="14" spans="1:13" x14ac:dyDescent="0.25">
      <c r="A14" t="s">
        <v>874</v>
      </c>
      <c r="B14" t="s">
        <v>167</v>
      </c>
      <c r="C14" t="s">
        <v>70</v>
      </c>
      <c r="D14" t="s">
        <v>194</v>
      </c>
      <c r="F14" s="57">
        <f>+SUMIF(Compras[[#All],[Codigo de Producto]],Productos[[#All],[Codigo de Producto]],Compras[[#All],[Cantidad]])</f>
        <v>1</v>
      </c>
      <c r="G14" s="57">
        <f>+SUMIF(Ventas[[#All],[Codigo de Producto]],Productos[[#All],[Codigo de Producto]],Ventas[[#All],[Cantidad]])</f>
        <v>1</v>
      </c>
      <c r="H14" s="57">
        <f>+Productos[[#This Row],[Existencias Iniciales]]+Productos[[#This Row],[Entradas]]-Productos[[#This Row],[Salidas]]</f>
        <v>0</v>
      </c>
      <c r="I14">
        <f ca="1">+SUMIF(Compras[[#All],[Codigo de Producto]],Productos[[#All],[Codigo de Producto]],Compras[[#Headers],[Precio]])</f>
        <v>1718</v>
      </c>
      <c r="J14" s="57">
        <f ca="1">IF(Productos[[#This Row],[Stock]]&lt;0,"",+Productos[[#This Row],[Stock]]*Productos[[#This Row],[Costo Unitario]])</f>
        <v>0</v>
      </c>
      <c r="K14">
        <v>1950</v>
      </c>
      <c r="L14" s="57">
        <f>IF(Productos[[#This Row],[Stock]]&lt;0,"",+Productos[[#This Row],[Stock]]*Productos[[#This Row],[Precio Unitario]])</f>
        <v>0</v>
      </c>
      <c r="M14" s="57">
        <f ca="1">IF(Productos[[#This Row],[Stock]]&lt;0,"",+Productos[[#This Row],[Total2]]-Productos[[#This Row],[Total]])</f>
        <v>0</v>
      </c>
    </row>
    <row r="15" spans="1:13" x14ac:dyDescent="0.25">
      <c r="A15" t="s">
        <v>681</v>
      </c>
      <c r="B15" t="s">
        <v>167</v>
      </c>
      <c r="C15" t="s">
        <v>70</v>
      </c>
      <c r="D15" t="s">
        <v>582</v>
      </c>
      <c r="E15">
        <v>1</v>
      </c>
      <c r="F15">
        <f>+SUMIF(Compras[[#All],[Codigo de Producto]],Productos[[#All],[Codigo de Producto]],Compras[[#All],[Cantidad]])</f>
        <v>0</v>
      </c>
      <c r="G15">
        <f>+SUMIF(Ventas[[#All],[Codigo de Producto]],Productos[[#All],[Codigo de Producto]],Ventas[[#All],[Cantidad]])</f>
        <v>1</v>
      </c>
      <c r="H15">
        <f>+Productos[[#This Row],[Existencias Iniciales]]+Productos[[#This Row],[Entradas]]-Productos[[#This Row],[Salidas]]</f>
        <v>0</v>
      </c>
      <c r="I15">
        <v>1630</v>
      </c>
      <c r="J15">
        <f>IF(Productos[[#This Row],[Stock]]&lt;0,"",+Productos[[#This Row],[Stock]]*Productos[[#This Row],[Costo Unitario]])</f>
        <v>0</v>
      </c>
      <c r="K15">
        <v>1850</v>
      </c>
      <c r="L15">
        <f>IF(Productos[[#This Row],[Stock]]&lt;0,"",+Productos[[#This Row],[Stock]]*Productos[[#This Row],[Precio Unitario]])</f>
        <v>0</v>
      </c>
      <c r="M15">
        <f>IF(Productos[[#This Row],[Stock]]&lt;0,"",+Productos[[#This Row],[Total2]]-Productos[[#This Row],[Total]])</f>
        <v>0</v>
      </c>
    </row>
    <row r="16" spans="1:13" x14ac:dyDescent="0.25">
      <c r="A16" t="s">
        <v>682</v>
      </c>
      <c r="B16" t="s">
        <v>167</v>
      </c>
      <c r="C16" t="s">
        <v>70</v>
      </c>
      <c r="D16" t="s">
        <v>151</v>
      </c>
      <c r="E16">
        <v>1</v>
      </c>
      <c r="F16">
        <f>+SUMIF(Compras[[#All],[Codigo de Producto]],Productos[[#All],[Codigo de Producto]],Compras[[#All],[Cantidad]])</f>
        <v>0</v>
      </c>
      <c r="G16">
        <f>+SUMIF(Ventas[[#All],[Codigo de Producto]],Productos[[#All],[Codigo de Producto]],Ventas[[#All],[Cantidad]])</f>
        <v>1</v>
      </c>
      <c r="H16">
        <f>+Productos[[#This Row],[Existencias Iniciales]]+Productos[[#This Row],[Entradas]]-Productos[[#This Row],[Salidas]]</f>
        <v>0</v>
      </c>
      <c r="I16">
        <v>1630</v>
      </c>
      <c r="J16">
        <f>IF(Productos[[#This Row],[Stock]]&lt;0,"",+Productos[[#This Row],[Stock]]*Productos[[#This Row],[Costo Unitario]])</f>
        <v>0</v>
      </c>
      <c r="K16">
        <v>1850</v>
      </c>
      <c r="L16">
        <f>IF(Productos[[#This Row],[Stock]]&lt;0,"",+Productos[[#This Row],[Stock]]*Productos[[#This Row],[Precio Unitario]])</f>
        <v>0</v>
      </c>
      <c r="M16">
        <f>IF(Productos[[#This Row],[Stock]]&lt;0,"",+Productos[[#This Row],[Total2]]-Productos[[#This Row],[Total]])</f>
        <v>0</v>
      </c>
    </row>
    <row r="17" spans="1:13" x14ac:dyDescent="0.25">
      <c r="A17" t="s">
        <v>875</v>
      </c>
      <c r="B17" t="s">
        <v>167</v>
      </c>
      <c r="C17" t="s">
        <v>70</v>
      </c>
      <c r="D17" t="s">
        <v>873</v>
      </c>
      <c r="F17" s="57">
        <f>+SUMIF(Compras[[#All],[Codigo de Producto]],Productos[[#All],[Codigo de Producto]],Compras[[#All],[Cantidad]])</f>
        <v>1</v>
      </c>
      <c r="G17" s="57">
        <f>+SUMIF(Ventas[[#All],[Codigo de Producto]],Productos[[#All],[Codigo de Producto]],Ventas[[#All],[Cantidad]])</f>
        <v>1</v>
      </c>
      <c r="H17" s="57">
        <f>+Productos[[#This Row],[Existencias Iniciales]]+Productos[[#This Row],[Entradas]]-Productos[[#This Row],[Salidas]]</f>
        <v>0</v>
      </c>
      <c r="I17">
        <f ca="1">+SUMIF(Compras[[#All],[Codigo de Producto]],Productos[[#All],[Codigo de Producto]],Compras[[#Headers],[Precio]])</f>
        <v>1718</v>
      </c>
      <c r="J17" s="57">
        <f ca="1">IF(Productos[[#This Row],[Stock]]&lt;0,"",+Productos[[#This Row],[Stock]]*Productos[[#This Row],[Costo Unitario]])</f>
        <v>0</v>
      </c>
      <c r="K17">
        <v>1950</v>
      </c>
      <c r="L17" s="57">
        <f>IF(Productos[[#This Row],[Stock]]&lt;0,"",+Productos[[#This Row],[Stock]]*Productos[[#This Row],[Precio Unitario]])</f>
        <v>0</v>
      </c>
      <c r="M17" s="57">
        <f ca="1">IF(Productos[[#This Row],[Stock]]&lt;0,"",+Productos[[#This Row],[Total2]]-Productos[[#This Row],[Total]])</f>
        <v>0</v>
      </c>
    </row>
    <row r="18" spans="1:13" x14ac:dyDescent="0.25">
      <c r="A18" t="s">
        <v>858</v>
      </c>
      <c r="B18" t="s">
        <v>167</v>
      </c>
      <c r="C18" t="s">
        <v>617</v>
      </c>
      <c r="D18" t="s">
        <v>346</v>
      </c>
      <c r="E18">
        <v>1</v>
      </c>
      <c r="F18" s="57">
        <f>+SUMIF(Compras[[#All],[Codigo de Producto]],Productos[[#All],[Codigo de Producto]],Compras[[#All],[Cantidad]])</f>
        <v>0</v>
      </c>
      <c r="G18" s="57">
        <f>+SUMIF(Ventas[[#All],[Codigo de Producto]],Productos[[#All],[Codigo de Producto]],Ventas[[#All],[Cantidad]])</f>
        <v>1</v>
      </c>
      <c r="H18" s="57">
        <f>+Productos[[#This Row],[Existencias Iniciales]]+Productos[[#This Row],[Entradas]]-Productos[[#This Row],[Salidas]]</f>
        <v>0</v>
      </c>
      <c r="I18">
        <v>219</v>
      </c>
      <c r="J18" s="57">
        <f>IF(Productos[[#This Row],[Stock]]&lt;0,"",+Productos[[#This Row],[Stock]]*Productos[[#This Row],[Costo Unitario]])</f>
        <v>0</v>
      </c>
      <c r="K18">
        <v>250</v>
      </c>
      <c r="L18" s="57">
        <f>IF(Productos[[#This Row],[Stock]]&lt;0,"",+Productos[[#This Row],[Stock]]*Productos[[#This Row],[Precio Unitario]])</f>
        <v>0</v>
      </c>
      <c r="M18" s="57">
        <f>IF(Productos[[#This Row],[Stock]]&lt;0,"",+Productos[[#This Row],[Total2]]-Productos[[#This Row],[Total]])</f>
        <v>0</v>
      </c>
    </row>
    <row r="19" spans="1:13" x14ac:dyDescent="0.25">
      <c r="A19" t="s">
        <v>714</v>
      </c>
      <c r="B19" t="s">
        <v>163</v>
      </c>
      <c r="C19" t="s">
        <v>85</v>
      </c>
      <c r="D19" t="s">
        <v>210</v>
      </c>
      <c r="E19">
        <v>2</v>
      </c>
      <c r="F19">
        <f>+SUMIF(Compras[[#All],[Codigo de Producto]],Productos[[#All],[Codigo de Producto]],Compras[[#All],[Cantidad]])</f>
        <v>0</v>
      </c>
      <c r="G19">
        <f>+SUMIF(Ventas[[#All],[Codigo de Producto]],Productos[[#All],[Codigo de Producto]],Ventas[[#All],[Cantidad]])</f>
        <v>2</v>
      </c>
      <c r="H19">
        <f>+Productos[[#This Row],[Existencias Iniciales]]+Productos[[#This Row],[Entradas]]-Productos[[#This Row],[Salidas]]</f>
        <v>0</v>
      </c>
      <c r="I19">
        <v>228</v>
      </c>
      <c r="J19">
        <f>IF(Productos[[#This Row],[Stock]]&lt;0,"",+Productos[[#This Row],[Stock]]*Productos[[#This Row],[Costo Unitario]])</f>
        <v>0</v>
      </c>
      <c r="K19">
        <v>400</v>
      </c>
      <c r="L19">
        <f>IF(Productos[[#This Row],[Stock]]&lt;0,"",+Productos[[#This Row],[Stock]]*Productos[[#This Row],[Precio Unitario]])</f>
        <v>0</v>
      </c>
      <c r="M19">
        <f>IF(Productos[[#This Row],[Stock]]&lt;0,"",+Productos[[#This Row],[Total2]]-Productos[[#This Row],[Total]])</f>
        <v>0</v>
      </c>
    </row>
    <row r="20" spans="1:13" x14ac:dyDescent="0.25">
      <c r="A20" t="s">
        <v>619</v>
      </c>
      <c r="B20" t="s">
        <v>167</v>
      </c>
      <c r="C20" t="s">
        <v>85</v>
      </c>
      <c r="D20" t="s">
        <v>216</v>
      </c>
      <c r="E20">
        <v>4</v>
      </c>
      <c r="F20">
        <f>+SUMIF(Compras[[#All],[Codigo de Producto]],Productos[[#All],[Codigo de Producto]],Compras[[#All],[Cantidad]])</f>
        <v>0</v>
      </c>
      <c r="G20">
        <f>+SUMIF(Ventas[[#All],[Codigo de Producto]],Productos[[#All],[Codigo de Producto]],Ventas[[#All],[Cantidad]])</f>
        <v>4</v>
      </c>
      <c r="H20">
        <f>+Productos[[#This Row],[Existencias Iniciales]]+Productos[[#This Row],[Entradas]]-Productos[[#This Row],[Salidas]]</f>
        <v>0</v>
      </c>
      <c r="I20">
        <v>480</v>
      </c>
      <c r="J20">
        <f>IF(Productos[[#This Row],[Stock]]&lt;0,"",+Productos[[#This Row],[Stock]]*Productos[[#This Row],[Costo Unitario]])</f>
        <v>0</v>
      </c>
      <c r="K20">
        <v>900</v>
      </c>
      <c r="L20">
        <f>IF(Productos[[#This Row],[Stock]]&lt;0,"",+Productos[[#This Row],[Stock]]*Productos[[#This Row],[Precio Unitario]])</f>
        <v>0</v>
      </c>
      <c r="M20">
        <f>IF(Productos[[#This Row],[Stock]]&lt;0,"",+Productos[[#This Row],[Total2]]-Productos[[#This Row],[Total]])</f>
        <v>0</v>
      </c>
    </row>
    <row r="21" spans="1:13" x14ac:dyDescent="0.25">
      <c r="A21" t="s">
        <v>620</v>
      </c>
      <c r="B21" t="s">
        <v>163</v>
      </c>
      <c r="C21" t="s">
        <v>85</v>
      </c>
      <c r="D21" t="s">
        <v>459</v>
      </c>
      <c r="E21">
        <v>2</v>
      </c>
      <c r="F21">
        <f>+SUMIF(Compras[[#All],[Codigo de Producto]],Productos[[#All],[Codigo de Producto]],Compras[[#All],[Cantidad]])</f>
        <v>0</v>
      </c>
      <c r="G21">
        <f>+SUMIF(Ventas[[#All],[Codigo de Producto]],Productos[[#All],[Codigo de Producto]],Ventas[[#All],[Cantidad]])</f>
        <v>2</v>
      </c>
      <c r="H21">
        <f>+Productos[[#This Row],[Existencias Iniciales]]+Productos[[#This Row],[Entradas]]-Productos[[#This Row],[Salidas]]</f>
        <v>0</v>
      </c>
      <c r="I21">
        <v>500</v>
      </c>
      <c r="J21">
        <f>IF(Productos[[#This Row],[Stock]]&lt;0,"",+Productos[[#This Row],[Stock]]*Productos[[#This Row],[Costo Unitario]])</f>
        <v>0</v>
      </c>
      <c r="K21">
        <v>1150</v>
      </c>
      <c r="L21">
        <f>IF(Productos[[#This Row],[Stock]]&lt;0,"",+Productos[[#This Row],[Stock]]*Productos[[#This Row],[Precio Unitario]])</f>
        <v>0</v>
      </c>
      <c r="M21">
        <f>IF(Productos[[#This Row],[Stock]]&lt;0,"",+Productos[[#This Row],[Total2]]-Productos[[#This Row],[Total]])</f>
        <v>0</v>
      </c>
    </row>
    <row r="22" spans="1:13" x14ac:dyDescent="0.25">
      <c r="A22" t="s">
        <v>896</v>
      </c>
      <c r="B22" t="s">
        <v>198</v>
      </c>
      <c r="C22" t="s">
        <v>70</v>
      </c>
      <c r="D22" t="s">
        <v>895</v>
      </c>
      <c r="E22">
        <v>1</v>
      </c>
      <c r="F22" s="57">
        <f>+SUMIF(Compras[[#All],[Codigo de Producto]],Productos[[#All],[Codigo de Producto]],Compras[[#All],[Cantidad]])</f>
        <v>0</v>
      </c>
      <c r="G22" s="57">
        <f>+SUMIF(Ventas[[#All],[Codigo de Producto]],Productos[[#All],[Codigo de Producto]],Ventas[[#All],[Cantidad]])</f>
        <v>1</v>
      </c>
      <c r="H22" s="57">
        <f>+Productos[[#This Row],[Existencias Iniciales]]+Productos[[#This Row],[Entradas]]-Productos[[#This Row],[Salidas]]</f>
        <v>0</v>
      </c>
      <c r="I22">
        <f ca="1">+SUMIF(Compras[[#All],[Codigo de Producto]],Productos[[#All],[Codigo de Producto]],Compras[[#Headers],[Precio]])</f>
        <v>0</v>
      </c>
      <c r="J22" s="57">
        <f ca="1">IF(Productos[[#This Row],[Stock]]&lt;0,"",+Productos[[#This Row],[Stock]]*Productos[[#This Row],[Costo Unitario]])</f>
        <v>0</v>
      </c>
      <c r="K22">
        <v>80</v>
      </c>
      <c r="L22" s="57">
        <f>IF(Productos[[#This Row],[Stock]]&lt;0,"",+Productos[[#This Row],[Stock]]*Productos[[#This Row],[Precio Unitario]])</f>
        <v>0</v>
      </c>
      <c r="M22" s="57">
        <f ca="1">IF(Productos[[#This Row],[Stock]]&lt;0,"",+Productos[[#This Row],[Total2]]-Productos[[#This Row],[Total]])</f>
        <v>0</v>
      </c>
    </row>
    <row r="23" spans="1:13" x14ac:dyDescent="0.25">
      <c r="A23" t="s">
        <v>881</v>
      </c>
      <c r="B23" t="s">
        <v>167</v>
      </c>
      <c r="C23" t="s">
        <v>617</v>
      </c>
      <c r="D23" t="s">
        <v>357</v>
      </c>
      <c r="E23">
        <f>4/10</f>
        <v>0.4</v>
      </c>
      <c r="F23" s="57">
        <f>+SUMIF(Compras[[#All],[Codigo de Producto]],Productos[[#All],[Codigo de Producto]],Compras[[#All],[Cantidad]])</f>
        <v>100</v>
      </c>
      <c r="G23" s="57">
        <f>+SUMIF(Ventas[[#All],[Codigo de Producto]],Productos[[#All],[Codigo de Producto]],Ventas[[#All],[Cantidad]])</f>
        <v>100.4</v>
      </c>
      <c r="H23" s="57">
        <f>+Productos[[#This Row],[Existencias Iniciales]]+Productos[[#This Row],[Entradas]]-Productos[[#This Row],[Salidas]]</f>
        <v>0</v>
      </c>
      <c r="I23">
        <f ca="1">+SUMIF(Compras[[#All],[Codigo de Producto]],Productos[[#All],[Codigo de Producto]],Compras[[#Headers],[Precio]])</f>
        <v>207</v>
      </c>
      <c r="J23" s="57">
        <f ca="1">IF(Productos[[#This Row],[Stock]]&lt;0,"",+Productos[[#This Row],[Stock]]*Productos[[#This Row],[Costo Unitario]])</f>
        <v>0</v>
      </c>
      <c r="K23">
        <v>240</v>
      </c>
      <c r="L23" s="57">
        <f>IF(Productos[[#This Row],[Stock]]&lt;0,"",+Productos[[#This Row],[Stock]]*Productos[[#This Row],[Precio Unitario]])</f>
        <v>0</v>
      </c>
      <c r="M23" s="57">
        <f ca="1">IF(Productos[[#This Row],[Stock]]&lt;0,"",+Productos[[#This Row],[Total2]]-Productos[[#This Row],[Total]])</f>
        <v>0</v>
      </c>
    </row>
    <row r="24" spans="1:13" x14ac:dyDescent="0.25">
      <c r="A24" t="s">
        <v>840</v>
      </c>
      <c r="B24" t="s">
        <v>163</v>
      </c>
      <c r="C24" t="s">
        <v>75</v>
      </c>
      <c r="D24" t="s">
        <v>545</v>
      </c>
      <c r="E24">
        <v>9</v>
      </c>
      <c r="F24" s="57">
        <f>+SUMIF(Compras[[#All],[Codigo de Producto]],Productos[[#All],[Codigo de Producto]],Compras[[#All],[Cantidad]])</f>
        <v>0</v>
      </c>
      <c r="G24" s="57">
        <f>+SUMIF(Ventas[[#All],[Codigo de Producto]],Productos[[#All],[Codigo de Producto]],Ventas[[#All],[Cantidad]])</f>
        <v>9</v>
      </c>
      <c r="H24" s="57">
        <f>+Productos[[#This Row],[Existencias Iniciales]]+Productos[[#This Row],[Entradas]]-Productos[[#This Row],[Salidas]]</f>
        <v>0</v>
      </c>
      <c r="I24">
        <v>54</v>
      </c>
      <c r="J24" s="57">
        <f>IF(Productos[[#This Row],[Stock]]&lt;0,"",+Productos[[#This Row],[Stock]]*Productos[[#This Row],[Costo Unitario]])</f>
        <v>0</v>
      </c>
      <c r="K24">
        <v>75</v>
      </c>
      <c r="L24" s="57">
        <f>IF(Productos[[#This Row],[Stock]]&lt;0,"",+Productos[[#This Row],[Stock]]*Productos[[#This Row],[Precio Unitario]])</f>
        <v>0</v>
      </c>
      <c r="M24" s="57">
        <f>IF(Productos[[#This Row],[Stock]]&lt;0,"",+Productos[[#This Row],[Total2]]-Productos[[#This Row],[Total]])</f>
        <v>0</v>
      </c>
    </row>
    <row r="25" spans="1:13" x14ac:dyDescent="0.25">
      <c r="A25" t="s">
        <v>731</v>
      </c>
      <c r="B25" t="s">
        <v>167</v>
      </c>
      <c r="C25" t="s">
        <v>617</v>
      </c>
      <c r="D25" t="s">
        <v>736</v>
      </c>
      <c r="F25" s="57">
        <f>+SUMIF(Compras[[#All],[Codigo de Producto]],Productos[[#All],[Codigo de Producto]],Compras[[#All],[Cantidad]])</f>
        <v>40</v>
      </c>
      <c r="G25" s="57">
        <f>+SUMIF(Ventas[[#All],[Codigo de Producto]],Productos[[#All],[Codigo de Producto]],Ventas[[#All],[Cantidad]])</f>
        <v>40</v>
      </c>
      <c r="H25" s="57">
        <f>+Productos[[#This Row],[Existencias Iniciales]]+Productos[[#This Row],[Entradas]]-Productos[[#This Row],[Salidas]]</f>
        <v>0</v>
      </c>
      <c r="I25">
        <v>268</v>
      </c>
      <c r="J25">
        <f>IF(Productos[[#This Row],[Stock]]&lt;0,"",+Productos[[#This Row],[Stock]]*Productos[[#This Row],[Costo Unitario]])</f>
        <v>0</v>
      </c>
      <c r="K25">
        <v>295</v>
      </c>
      <c r="L25" s="57">
        <f>IF(Productos[[#This Row],[Stock]]&lt;0,"",+Productos[[#This Row],[Stock]]*Productos[[#This Row],[Precio Unitario]])</f>
        <v>0</v>
      </c>
      <c r="M25" s="57">
        <f>IF(Productos[[#This Row],[Stock]]&lt;0,"",+Productos[[#This Row],[Total2]]-Productos[[#This Row],[Total]])</f>
        <v>0</v>
      </c>
    </row>
    <row r="26" spans="1:13" x14ac:dyDescent="0.25">
      <c r="A26" t="s">
        <v>665</v>
      </c>
      <c r="B26" t="s">
        <v>167</v>
      </c>
      <c r="C26" t="s">
        <v>617</v>
      </c>
      <c r="D26" t="s">
        <v>519</v>
      </c>
      <c r="E26">
        <v>2</v>
      </c>
      <c r="F26">
        <f>+SUMIF(Compras[[#All],[Codigo de Producto]],Productos[[#All],[Codigo de Producto]],Compras[[#All],[Cantidad]])</f>
        <v>0</v>
      </c>
      <c r="G26">
        <f>+SUMIF(Ventas[[#All],[Codigo de Producto]],Productos[[#All],[Codigo de Producto]],Ventas[[#All],[Cantidad]])</f>
        <v>2</v>
      </c>
      <c r="H26">
        <f>+Productos[[#This Row],[Existencias Iniciales]]+Productos[[#This Row],[Entradas]]-Productos[[#This Row],[Salidas]]</f>
        <v>0</v>
      </c>
      <c r="I26">
        <v>218</v>
      </c>
      <c r="J26">
        <f>IF(Productos[[#This Row],[Stock]]&lt;0,"",+Productos[[#This Row],[Stock]]*Productos[[#This Row],[Costo Unitario]])</f>
        <v>0</v>
      </c>
      <c r="K26">
        <v>250</v>
      </c>
      <c r="L26">
        <f>IF(Productos[[#This Row],[Stock]]&lt;0,"",+Productos[[#This Row],[Stock]]*Productos[[#This Row],[Precio Unitario]])</f>
        <v>0</v>
      </c>
      <c r="M26">
        <f>IF(Productos[[#This Row],[Stock]]&lt;0,"",+Productos[[#This Row],[Total2]]-Productos[[#This Row],[Total]])</f>
        <v>0</v>
      </c>
    </row>
    <row r="27" spans="1:13" x14ac:dyDescent="0.25">
      <c r="A27" t="s">
        <v>909</v>
      </c>
      <c r="B27" t="s">
        <v>166</v>
      </c>
      <c r="C27" t="s">
        <v>78</v>
      </c>
      <c r="D27" t="s">
        <v>910</v>
      </c>
      <c r="E27">
        <v>1</v>
      </c>
      <c r="F27" s="57">
        <f>+SUMIF(Compras[[#All],[Codigo de Producto]],Productos[[#All],[Codigo de Producto]],Compras[[#All],[Cantidad]])</f>
        <v>0</v>
      </c>
      <c r="G27" s="57">
        <f>+SUMIF(Ventas[[#All],[Codigo de Producto]],Productos[[#All],[Codigo de Producto]],Ventas[[#All],[Cantidad]])</f>
        <v>1</v>
      </c>
      <c r="H27" s="57">
        <f>+Productos[[#This Row],[Existencias Iniciales]]+Productos[[#This Row],[Entradas]]-Productos[[#This Row],[Salidas]]</f>
        <v>0</v>
      </c>
      <c r="J27" s="57">
        <f>IF(Productos[[#This Row],[Stock]]&lt;0,"",+Productos[[#This Row],[Stock]]*Productos[[#This Row],[Costo Unitario]])</f>
        <v>0</v>
      </c>
      <c r="K27">
        <v>600</v>
      </c>
      <c r="L27" s="57">
        <f>IF(Productos[[#This Row],[Stock]]&lt;0,"",+Productos[[#This Row],[Stock]]*Productos[[#This Row],[Precio Unitario]])</f>
        <v>0</v>
      </c>
      <c r="M27" s="57">
        <f>IF(Productos[[#This Row],[Stock]]&lt;0,"",+Productos[[#This Row],[Total2]]-Productos[[#This Row],[Total]])</f>
        <v>0</v>
      </c>
    </row>
    <row r="28" spans="1:13" x14ac:dyDescent="0.25">
      <c r="A28" t="s">
        <v>698</v>
      </c>
      <c r="B28" t="s">
        <v>163</v>
      </c>
      <c r="C28" t="s">
        <v>617</v>
      </c>
      <c r="D28" t="s">
        <v>481</v>
      </c>
      <c r="E28">
        <v>3.59</v>
      </c>
      <c r="F28">
        <f>+SUMIF(Compras[[#All],[Codigo de Producto]],Productos[[#All],[Codigo de Producto]],Compras[[#All],[Cantidad]])</f>
        <v>0</v>
      </c>
      <c r="G28">
        <f>+SUMIF(Ventas[[#All],[Codigo de Producto]],Productos[[#All],[Codigo de Producto]],Ventas[[#All],[Cantidad]])</f>
        <v>3.583333333333333</v>
      </c>
      <c r="H28">
        <f>+Productos[[#This Row],[Existencias Iniciales]]+Productos[[#This Row],[Entradas]]-Productos[[#This Row],[Salidas]]</f>
        <v>6.6666666666668206E-3</v>
      </c>
      <c r="I28">
        <v>220</v>
      </c>
      <c r="J28">
        <f>IF(Productos[[#This Row],[Stock]]&lt;0,"",+Productos[[#This Row],[Stock]]*Productos[[#This Row],[Costo Unitario]])</f>
        <v>1.4666666666667005</v>
      </c>
      <c r="K28">
        <v>250</v>
      </c>
      <c r="L28">
        <f>IF(Productos[[#This Row],[Stock]]&lt;0,"",+Productos[[#This Row],[Stock]]*Productos[[#This Row],[Precio Unitario]])</f>
        <v>1.6666666666667052</v>
      </c>
      <c r="M28">
        <f>IF(Productos[[#This Row],[Stock]]&lt;0,"",+Productos[[#This Row],[Total2]]-Productos[[#This Row],[Total]])</f>
        <v>0.20000000000000462</v>
      </c>
    </row>
    <row r="29" spans="1:13" x14ac:dyDescent="0.25">
      <c r="A29" t="s">
        <v>641</v>
      </c>
      <c r="B29" t="s">
        <v>163</v>
      </c>
      <c r="C29" t="s">
        <v>617</v>
      </c>
      <c r="D29" t="s">
        <v>320</v>
      </c>
      <c r="E29">
        <f>2*1.53+(9/9)</f>
        <v>4.0600000000000005</v>
      </c>
      <c r="F29">
        <f>+SUMIF(Compras[[#All],[Codigo de Producto]],Productos[[#All],[Codigo de Producto]],Compras[[#All],[Cantidad]])</f>
        <v>0</v>
      </c>
      <c r="G29">
        <f>+SUMIF(Ventas[[#All],[Codigo de Producto]],Productos[[#All],[Codigo de Producto]],Ventas[[#All],[Cantidad]])</f>
        <v>4</v>
      </c>
      <c r="H29">
        <f>+Productos[[#This Row],[Existencias Iniciales]]+Productos[[#This Row],[Entradas]]-Productos[[#This Row],[Salidas]]</f>
        <v>6.0000000000000497E-2</v>
      </c>
      <c r="I29">
        <v>205</v>
      </c>
      <c r="J29">
        <f>IF(Productos[[#This Row],[Stock]]&lt;0,"",+Productos[[#This Row],[Stock]]*Productos[[#This Row],[Costo Unitario]])</f>
        <v>12.300000000000102</v>
      </c>
      <c r="K29">
        <v>240</v>
      </c>
      <c r="L29">
        <f>IF(Productos[[#This Row],[Stock]]&lt;0,"",+Productos[[#This Row],[Stock]]*Productos[[#This Row],[Precio Unitario]])</f>
        <v>14.400000000000119</v>
      </c>
      <c r="M29">
        <f>IF(Productos[[#This Row],[Stock]]&lt;0,"",+Productos[[#This Row],[Total2]]-Productos[[#This Row],[Total]])</f>
        <v>2.1000000000000174</v>
      </c>
    </row>
    <row r="30" spans="1:13" x14ac:dyDescent="0.25">
      <c r="A30" t="s">
        <v>669</v>
      </c>
      <c r="B30" t="s">
        <v>167</v>
      </c>
      <c r="C30" t="s">
        <v>55</v>
      </c>
      <c r="D30" t="s">
        <v>650</v>
      </c>
      <c r="E30">
        <f>7*1.41+(12/17)</f>
        <v>10.575882352941175</v>
      </c>
      <c r="F30">
        <f>+SUMIF(Compras[[#All],[Codigo de Producto]],Productos[[#All],[Codigo de Producto]],Compras[[#All],[Cantidad]])</f>
        <v>0</v>
      </c>
      <c r="G30">
        <f>+SUMIF(Ventas[[#All],[Codigo de Producto]],Productos[[#All],[Codigo de Producto]],Ventas[[#All],[Cantidad]])</f>
        <v>10.5</v>
      </c>
      <c r="H30">
        <f>+Productos[[#This Row],[Existencias Iniciales]]+Productos[[#This Row],[Entradas]]-Productos[[#This Row],[Salidas]]</f>
        <v>7.5882352941174958E-2</v>
      </c>
      <c r="I30">
        <v>268</v>
      </c>
      <c r="J30">
        <f>IF(Productos[[#This Row],[Stock]]&lt;0,"",+Productos[[#This Row],[Stock]]*Productos[[#This Row],[Costo Unitario]])</f>
        <v>20.336470588234889</v>
      </c>
      <c r="K30">
        <v>300</v>
      </c>
      <c r="L30">
        <f>IF(Productos[[#This Row],[Stock]]&lt;0,"",+Productos[[#This Row],[Stock]]*Productos[[#This Row],[Precio Unitario]])</f>
        <v>22.764705882352487</v>
      </c>
      <c r="M30">
        <f>IF(Productos[[#This Row],[Stock]]&lt;0,"",+Productos[[#This Row],[Total2]]-Productos[[#This Row],[Total]])</f>
        <v>2.4282352941175986</v>
      </c>
    </row>
    <row r="31" spans="1:13" x14ac:dyDescent="0.25">
      <c r="A31" t="s">
        <v>680</v>
      </c>
      <c r="B31" t="s">
        <v>163</v>
      </c>
      <c r="C31" t="s">
        <v>617</v>
      </c>
      <c r="D31" t="s">
        <v>31</v>
      </c>
      <c r="E31">
        <f>7*1.54+(7/9)</f>
        <v>11.55777777777778</v>
      </c>
      <c r="F31">
        <f>+SUMIF(Compras[[#All],[Codigo de Producto]],Productos[[#All],[Codigo de Producto]],Compras[[#All],[Cantidad]])</f>
        <v>0</v>
      </c>
      <c r="G31">
        <f>+SUMIF(Ventas[[#All],[Codigo de Producto]],Productos[[#All],[Codigo de Producto]],Ventas[[#All],[Cantidad]])</f>
        <v>11.474444444444444</v>
      </c>
      <c r="H31">
        <f>+Productos[[#This Row],[Existencias Iniciales]]+Productos[[#This Row],[Entradas]]-Productos[[#This Row],[Salidas]]</f>
        <v>8.3333333333335702E-2</v>
      </c>
      <c r="I31">
        <v>248</v>
      </c>
      <c r="J31">
        <f>IF(Productos[[#This Row],[Stock]]&lt;0,"",+Productos[[#This Row],[Stock]]*Productos[[#This Row],[Costo Unitario]])</f>
        <v>20.666666666667254</v>
      </c>
      <c r="K31">
        <v>280</v>
      </c>
      <c r="L31">
        <f>IF(Productos[[#This Row],[Stock]]&lt;0,"",+Productos[[#This Row],[Stock]]*Productos[[#This Row],[Precio Unitario]])</f>
        <v>23.333333333333997</v>
      </c>
      <c r="M31">
        <f>IF(Productos[[#This Row],[Stock]]&lt;0,"",+Productos[[#This Row],[Total2]]-Productos[[#This Row],[Total]])</f>
        <v>2.6666666666667425</v>
      </c>
    </row>
    <row r="32" spans="1:13" x14ac:dyDescent="0.25">
      <c r="A32" t="s">
        <v>679</v>
      </c>
      <c r="B32" t="s">
        <v>167</v>
      </c>
      <c r="C32" t="s">
        <v>617</v>
      </c>
      <c r="D32" t="s">
        <v>424</v>
      </c>
      <c r="E32">
        <v>10</v>
      </c>
      <c r="F32">
        <f>+SUMIF(Compras[[#All],[Codigo de Producto]],Productos[[#All],[Codigo de Producto]],Compras[[#All],[Cantidad]])</f>
        <v>0</v>
      </c>
      <c r="G32">
        <f>+SUMIF(Ventas[[#All],[Codigo de Producto]],Productos[[#All],[Codigo de Producto]],Ventas[[#All],[Cantidad]])</f>
        <v>9.9</v>
      </c>
      <c r="H32">
        <f>+Productos[[#This Row],[Existencias Iniciales]]+Productos[[#This Row],[Entradas]]-Productos[[#This Row],[Salidas]]</f>
        <v>9.9999999999999645E-2</v>
      </c>
      <c r="I32">
        <v>210</v>
      </c>
      <c r="J32">
        <f>IF(Productos[[#This Row],[Stock]]&lt;0,"",+Productos[[#This Row],[Stock]]*Productos[[#This Row],[Costo Unitario]])</f>
        <v>20.999999999999925</v>
      </c>
      <c r="K32">
        <v>250</v>
      </c>
      <c r="L32">
        <f>IF(Productos[[#This Row],[Stock]]&lt;0,"",+Productos[[#This Row],[Stock]]*Productos[[#This Row],[Precio Unitario]])</f>
        <v>24.999999999999911</v>
      </c>
      <c r="M32">
        <f>IF(Productos[[#This Row],[Stock]]&lt;0,"",+Productos[[#This Row],[Total2]]-Productos[[#This Row],[Total]])</f>
        <v>3.9999999999999858</v>
      </c>
    </row>
    <row r="33" spans="1:13" x14ac:dyDescent="0.25">
      <c r="A33" t="s">
        <v>892</v>
      </c>
      <c r="B33" t="s">
        <v>163</v>
      </c>
      <c r="C33" t="s">
        <v>617</v>
      </c>
      <c r="D33" t="s">
        <v>28</v>
      </c>
      <c r="F33" s="57">
        <f>+SUMIF(Compras[[#All],[Codigo de Producto]],Productos[[#All],[Codigo de Producto]],Compras[[#All],[Cantidad]])</f>
        <v>100</v>
      </c>
      <c r="G33" s="57">
        <f>+SUMIF(Ventas[[#All],[Codigo de Producto]],Productos[[#All],[Codigo de Producto]],Ventas[[#All],[Cantidad]])</f>
        <v>99.888888888888886</v>
      </c>
      <c r="H33" s="57">
        <f>+Productos[[#This Row],[Existencias Iniciales]]+Productos[[#This Row],[Entradas]]-Productos[[#This Row],[Salidas]]</f>
        <v>0.11111111111111427</v>
      </c>
      <c r="I33">
        <f ca="1">+SUMIF(Compras[[#All],[Codigo de Producto]],Productos[[#All],[Codigo de Producto]],Compras[[#Headers],[Precio]])</f>
        <v>216.82</v>
      </c>
      <c r="J33" s="57">
        <f ca="1">IF(Productos[[#This Row],[Stock]]&lt;0,"",+Productos[[#This Row],[Stock]]*Productos[[#This Row],[Costo Unitario]])</f>
        <v>24.091111111111797</v>
      </c>
      <c r="K33">
        <v>240</v>
      </c>
      <c r="L33" s="57">
        <f>IF(Productos[[#This Row],[Stock]]&lt;0,"",+Productos[[#This Row],[Stock]]*Productos[[#This Row],[Precio Unitario]])</f>
        <v>26.666666666667425</v>
      </c>
      <c r="M33" s="57">
        <f ca="1">IF(Productos[[#This Row],[Stock]]&lt;0,"",+Productos[[#This Row],[Total2]]-Productos[[#This Row],[Total]])</f>
        <v>2.5755555555556278</v>
      </c>
    </row>
    <row r="34" spans="1:13" x14ac:dyDescent="0.25">
      <c r="A34" t="s">
        <v>677</v>
      </c>
      <c r="B34" t="s">
        <v>163</v>
      </c>
      <c r="C34" t="s">
        <v>617</v>
      </c>
      <c r="D34" t="s">
        <v>96</v>
      </c>
      <c r="E34">
        <f>4*1.53</f>
        <v>6.12</v>
      </c>
      <c r="F34">
        <f>+SUMIF(Compras[[#All],[Codigo de Producto]],Productos[[#All],[Codigo de Producto]],Compras[[#All],[Cantidad]])</f>
        <v>0</v>
      </c>
      <c r="G34">
        <f>+SUMIF(Ventas[[#All],[Codigo de Producto]],Productos[[#All],[Codigo de Producto]],Ventas[[#All],[Cantidad]])</f>
        <v>6</v>
      </c>
      <c r="H34">
        <f>+Productos[[#This Row],[Existencias Iniciales]]+Productos[[#This Row],[Entradas]]-Productos[[#This Row],[Salidas]]</f>
        <v>0.12000000000000011</v>
      </c>
      <c r="I34">
        <v>182</v>
      </c>
      <c r="J34">
        <f>IF(Productos[[#This Row],[Stock]]&lt;0,"",+Productos[[#This Row],[Stock]]*Productos[[#This Row],[Costo Unitario]])</f>
        <v>21.840000000000018</v>
      </c>
      <c r="K34">
        <v>290</v>
      </c>
      <c r="L34">
        <f>IF(Productos[[#This Row],[Stock]]&lt;0,"",+Productos[[#This Row],[Stock]]*Productos[[#This Row],[Precio Unitario]])</f>
        <v>34.800000000000033</v>
      </c>
      <c r="M34">
        <f>IF(Productos[[#This Row],[Stock]]&lt;0,"",+Productos[[#This Row],[Total2]]-Productos[[#This Row],[Total]])</f>
        <v>12.960000000000015</v>
      </c>
    </row>
    <row r="35" spans="1:13" x14ac:dyDescent="0.25">
      <c r="A35" t="s">
        <v>694</v>
      </c>
      <c r="B35" t="s">
        <v>99</v>
      </c>
      <c r="C35" t="s">
        <v>26</v>
      </c>
      <c r="D35" t="s">
        <v>532</v>
      </c>
      <c r="E35">
        <v>30</v>
      </c>
      <c r="F35">
        <f>+SUMIF(Compras[[#All],[Codigo de Producto]],Productos[[#All],[Codigo de Producto]],Compras[[#All],[Cantidad]])</f>
        <v>100.08</v>
      </c>
      <c r="G35">
        <f>+SUMIF(Ventas[[#All],[Codigo de Producto]],Productos[[#All],[Codigo de Producto]],Ventas[[#All],[Cantidad]])</f>
        <v>129.95999999999998</v>
      </c>
      <c r="H35">
        <f>+Productos[[#This Row],[Existencias Iniciales]]+Productos[[#This Row],[Entradas]]-Productos[[#This Row],[Salidas]]</f>
        <v>0.12000000000000455</v>
      </c>
      <c r="I35">
        <v>340</v>
      </c>
      <c r="J35">
        <f>IF(Productos[[#This Row],[Stock]]&lt;0,"",+Productos[[#This Row],[Stock]]*Productos[[#This Row],[Costo Unitario]])</f>
        <v>40.800000000001546</v>
      </c>
      <c r="K35">
        <v>380</v>
      </c>
      <c r="L35">
        <f>IF(Productos[[#This Row],[Stock]]&lt;0,"",+Productos[[#This Row],[Stock]]*Productos[[#This Row],[Precio Unitario]])</f>
        <v>45.600000000001728</v>
      </c>
      <c r="M35">
        <f>IF(Productos[[#This Row],[Stock]]&lt;0,"",+Productos[[#This Row],[Total2]]-Productos[[#This Row],[Total]])</f>
        <v>4.8000000000001819</v>
      </c>
    </row>
    <row r="36" spans="1:13" x14ac:dyDescent="0.25">
      <c r="A36" t="s">
        <v>666</v>
      </c>
      <c r="B36" t="s">
        <v>167</v>
      </c>
      <c r="C36" t="s">
        <v>64</v>
      </c>
      <c r="D36" t="s">
        <v>603</v>
      </c>
      <c r="E36">
        <f>7*1.32+(5/8*1.32)</f>
        <v>10.065</v>
      </c>
      <c r="F36">
        <f>+SUMIF(Compras[[#All],[Codigo de Producto]],Productos[[#All],[Codigo de Producto]],Compras[[#All],[Cantidad]])</f>
        <v>10.065</v>
      </c>
      <c r="G36">
        <f>+SUMIF(Ventas[[#All],[Codigo de Producto]],Productos[[#All],[Codigo de Producto]],Ventas[[#All],[Cantidad]])</f>
        <v>20</v>
      </c>
      <c r="H36">
        <f>+Productos[[#This Row],[Existencias Iniciales]]+Productos[[#This Row],[Entradas]]-Productos[[#This Row],[Salidas]]</f>
        <v>0.12999999999999901</v>
      </c>
      <c r="I36">
        <v>332</v>
      </c>
      <c r="J36">
        <f>IF(Productos[[#This Row],[Stock]]&lt;0,"",+Productos[[#This Row],[Stock]]*Productos[[#This Row],[Costo Unitario]])</f>
        <v>43.15999999999967</v>
      </c>
      <c r="K36">
        <v>430</v>
      </c>
      <c r="L36">
        <f>IF(Productos[[#This Row],[Stock]]&lt;0,"",+Productos[[#This Row],[Stock]]*Productos[[#This Row],[Precio Unitario]])</f>
        <v>55.899999999999572</v>
      </c>
      <c r="M36">
        <f>IF(Productos[[#This Row],[Stock]]&lt;0,"",+Productos[[#This Row],[Total2]]-Productos[[#This Row],[Total]])</f>
        <v>12.739999999999903</v>
      </c>
    </row>
    <row r="37" spans="1:13" x14ac:dyDescent="0.25">
      <c r="A37" t="s">
        <v>691</v>
      </c>
      <c r="B37" t="s">
        <v>163</v>
      </c>
      <c r="C37" t="s">
        <v>617</v>
      </c>
      <c r="D37" t="s">
        <v>655</v>
      </c>
      <c r="E37">
        <f>106*1.53+(9/9)</f>
        <v>163.18</v>
      </c>
      <c r="F37">
        <f>+SUMIF(Compras[[#All],[Codigo de Producto]],Productos[[#All],[Codigo de Producto]],Compras[[#All],[Cantidad]])</f>
        <v>156.6</v>
      </c>
      <c r="G37">
        <f>+SUMIF(Ventas[[#All],[Codigo de Producto]],Productos[[#All],[Codigo de Producto]],Ventas[[#All],[Cantidad]])</f>
        <v>319.54444444444442</v>
      </c>
      <c r="H37">
        <f>+Productos[[#This Row],[Existencias Iniciales]]+Productos[[#This Row],[Entradas]]-Productos[[#This Row],[Salidas]]</f>
        <v>0.23555555555554974</v>
      </c>
      <c r="I37">
        <v>212</v>
      </c>
      <c r="J37">
        <f>IF(Productos[[#This Row],[Stock]]&lt;0,"",+Productos[[#This Row],[Stock]]*Productos[[#This Row],[Costo Unitario]])</f>
        <v>49.937777777776546</v>
      </c>
      <c r="K37">
        <v>240</v>
      </c>
      <c r="L37">
        <f>IF(Productos[[#This Row],[Stock]]&lt;0,"",+Productos[[#This Row],[Stock]]*Productos[[#This Row],[Precio Unitario]])</f>
        <v>56.533333333331939</v>
      </c>
      <c r="M37">
        <f>IF(Productos[[#This Row],[Stock]]&lt;0,"",+Productos[[#This Row],[Total2]]-Productos[[#This Row],[Total]])</f>
        <v>6.5955555555553929</v>
      </c>
    </row>
    <row r="38" spans="1:13" x14ac:dyDescent="0.25">
      <c r="A38" t="s">
        <v>635</v>
      </c>
      <c r="B38" t="s">
        <v>167</v>
      </c>
      <c r="C38" t="s">
        <v>55</v>
      </c>
      <c r="D38" t="s">
        <v>596</v>
      </c>
      <c r="E38">
        <f>1.2+(4/17*1.2)</f>
        <v>1.4823529411764707</v>
      </c>
      <c r="F38">
        <f>+SUMIF(Compras[[#All],[Codigo de Producto]],Productos[[#All],[Codigo de Producto]],Compras[[#All],[Cantidad]])</f>
        <v>0</v>
      </c>
      <c r="G38">
        <f>+SUMIF(Ventas[[#All],[Codigo de Producto]],Productos[[#All],[Codigo de Producto]],Ventas[[#All],[Cantidad]])</f>
        <v>1.2</v>
      </c>
      <c r="H38">
        <f>+Productos[[#This Row],[Existencias Iniciales]]+Productos[[#This Row],[Entradas]]-Productos[[#This Row],[Salidas]]</f>
        <v>0.2823529411764707</v>
      </c>
      <c r="I38">
        <v>283</v>
      </c>
      <c r="J38">
        <f>IF(Productos[[#This Row],[Stock]]&lt;0,"",+Productos[[#This Row],[Stock]]*Productos[[#This Row],[Costo Unitario]])</f>
        <v>79.905882352941205</v>
      </c>
      <c r="K38">
        <v>310</v>
      </c>
      <c r="L38">
        <f>IF(Productos[[#This Row],[Stock]]&lt;0,"",+Productos[[#This Row],[Stock]]*Productos[[#This Row],[Precio Unitario]])</f>
        <v>87.529411764705912</v>
      </c>
      <c r="M38">
        <f>IF(Productos[[#This Row],[Stock]]&lt;0,"",+Productos[[#This Row],[Total2]]-Productos[[#This Row],[Total]])</f>
        <v>7.6235294117647072</v>
      </c>
    </row>
    <row r="39" spans="1:13" x14ac:dyDescent="0.25">
      <c r="A39" t="s">
        <v>693</v>
      </c>
      <c r="B39" t="s">
        <v>163</v>
      </c>
      <c r="C39" t="s">
        <v>617</v>
      </c>
      <c r="D39" t="s">
        <v>684</v>
      </c>
      <c r="E39">
        <f>10*1.53+(10/9)</f>
        <v>16.411111111111111</v>
      </c>
      <c r="F39">
        <f>+SUMIF(Compras[[#All],[Codigo de Producto]],Productos[[#All],[Codigo de Producto]],Compras[[#All],[Cantidad]])</f>
        <v>0</v>
      </c>
      <c r="G39">
        <f>+SUMIF(Ventas[[#All],[Codigo de Producto]],Productos[[#All],[Codigo de Producto]],Ventas[[#All],[Cantidad]])</f>
        <v>16</v>
      </c>
      <c r="H39">
        <f>+Productos[[#This Row],[Existencias Iniciales]]+Productos[[#This Row],[Entradas]]-Productos[[#This Row],[Salidas]]</f>
        <v>0.41111111111111143</v>
      </c>
      <c r="I39">
        <v>212</v>
      </c>
      <c r="J39">
        <f>IF(Productos[[#This Row],[Stock]]&lt;0,"",+Productos[[#This Row],[Stock]]*Productos[[#This Row],[Costo Unitario]])</f>
        <v>87.155555555555623</v>
      </c>
      <c r="K39">
        <v>240</v>
      </c>
      <c r="L39">
        <f>IF(Productos[[#This Row],[Stock]]&lt;0,"",+Productos[[#This Row],[Stock]]*Productos[[#This Row],[Precio Unitario]])</f>
        <v>98.666666666666742</v>
      </c>
      <c r="M39">
        <f>IF(Productos[[#This Row],[Stock]]&lt;0,"",+Productos[[#This Row],[Total2]]-Productos[[#This Row],[Total]])</f>
        <v>11.51111111111112</v>
      </c>
    </row>
    <row r="40" spans="1:13" x14ac:dyDescent="0.25">
      <c r="A40" t="s">
        <v>806</v>
      </c>
      <c r="B40" t="s">
        <v>167</v>
      </c>
      <c r="C40" t="s">
        <v>55</v>
      </c>
      <c r="D40" t="s">
        <v>277</v>
      </c>
      <c r="E40">
        <f>8/17</f>
        <v>0.47058823529411764</v>
      </c>
      <c r="F40" s="57">
        <f>+SUMIF(Compras[[#All],[Codigo de Producto]],Productos[[#All],[Codigo de Producto]],Compras[[#All],[Cantidad]])</f>
        <v>0</v>
      </c>
      <c r="G40" s="57">
        <f>+SUMIF(Ventas[[#All],[Codigo de Producto]],Productos[[#All],[Codigo de Producto]],Ventas[[#All],[Cantidad]])</f>
        <v>0</v>
      </c>
      <c r="H40" s="57">
        <f>+Productos[[#This Row],[Existencias Iniciales]]+Productos[[#This Row],[Entradas]]-Productos[[#This Row],[Salidas]]</f>
        <v>0.47058823529411764</v>
      </c>
      <c r="I40">
        <v>268</v>
      </c>
      <c r="J40" s="57">
        <f>IF(Productos[[#This Row],[Stock]]&lt;0,"",+Productos[[#This Row],[Stock]]*Productos[[#This Row],[Costo Unitario]])</f>
        <v>126.11764705882352</v>
      </c>
      <c r="K40">
        <v>300</v>
      </c>
      <c r="L40" s="57">
        <f>IF(Productos[[#This Row],[Stock]]&lt;0,"",+Productos[[#This Row],[Stock]]*Productos[[#This Row],[Precio Unitario]])</f>
        <v>141.1764705882353</v>
      </c>
      <c r="M40" s="57">
        <f>IF(Productos[[#This Row],[Stock]]&lt;0,"",+Productos[[#This Row],[Total2]]-Productos[[#This Row],[Total]])</f>
        <v>15.058823529411782</v>
      </c>
    </row>
    <row r="41" spans="1:13" x14ac:dyDescent="0.25">
      <c r="A41" t="s">
        <v>637</v>
      </c>
      <c r="B41" t="s">
        <v>167</v>
      </c>
      <c r="C41" t="s">
        <v>55</v>
      </c>
      <c r="D41" t="s">
        <v>22</v>
      </c>
      <c r="E41">
        <f>4*1.41+(20/17)</f>
        <v>6.8164705882352941</v>
      </c>
      <c r="F41">
        <f>+SUMIF(Compras[[#All],[Codigo de Producto]],Productos[[#All],[Codigo de Producto]],Compras[[#All],[Cantidad]])</f>
        <v>14.16</v>
      </c>
      <c r="G41">
        <f>+SUMIF(Ventas[[#All],[Codigo de Producto]],Productos[[#All],[Codigo de Producto]],Ventas[[#All],[Cantidad]])</f>
        <v>20.5</v>
      </c>
      <c r="H41">
        <f>+Productos[[#This Row],[Existencias Iniciales]]+Productos[[#This Row],[Entradas]]-Productos[[#This Row],[Salidas]]</f>
        <v>0.4764705882352942</v>
      </c>
      <c r="I41">
        <v>268</v>
      </c>
      <c r="J41">
        <f>IF(Productos[[#This Row],[Stock]]&lt;0,"",+Productos[[#This Row],[Stock]]*Productos[[#This Row],[Costo Unitario]])</f>
        <v>127.69411764705885</v>
      </c>
      <c r="K41">
        <v>300</v>
      </c>
      <c r="L41">
        <f>IF(Productos[[#This Row],[Stock]]&lt;0,"",+Productos[[#This Row],[Stock]]*Productos[[#This Row],[Precio Unitario]])</f>
        <v>142.94117647058826</v>
      </c>
      <c r="M41">
        <f>IF(Productos[[#This Row],[Stock]]&lt;0,"",+Productos[[#This Row],[Total2]]-Productos[[#This Row],[Total]])</f>
        <v>15.247058823529414</v>
      </c>
    </row>
    <row r="42" spans="1:13" x14ac:dyDescent="0.25">
      <c r="A42" t="s">
        <v>716</v>
      </c>
      <c r="B42" t="s">
        <v>167</v>
      </c>
      <c r="C42" t="s">
        <v>55</v>
      </c>
      <c r="D42" t="s">
        <v>107</v>
      </c>
      <c r="E42">
        <f>9/12</f>
        <v>0.75</v>
      </c>
      <c r="F42" s="57">
        <f>+SUMIF(Compras[[#All],[Codigo de Producto]],Productos[[#All],[Codigo de Producto]],Compras[[#All],[Cantidad]])</f>
        <v>14.2</v>
      </c>
      <c r="G42" s="57">
        <f>+SUMIF(Ventas[[#All],[Codigo de Producto]],Productos[[#All],[Codigo de Producto]],Ventas[[#All],[Cantidad]])</f>
        <v>14.466666666666665</v>
      </c>
      <c r="H42" s="57">
        <f>+Productos[[#This Row],[Existencias Iniciales]]+Productos[[#This Row],[Entradas]]-Productos[[#This Row],[Salidas]]</f>
        <v>0.48333333333333428</v>
      </c>
      <c r="I42">
        <v>268</v>
      </c>
      <c r="J42">
        <f>IF(Productos[[#This Row],[Stock]]&lt;0,"",+Productos[[#This Row],[Stock]]*Productos[[#This Row],[Costo Unitario]])</f>
        <v>129.53333333333359</v>
      </c>
      <c r="K42">
        <v>300</v>
      </c>
      <c r="L42" s="57">
        <f>IF(Productos[[#This Row],[Stock]]&lt;0,"",+Productos[[#This Row],[Stock]]*Productos[[#This Row],[Precio Unitario]])</f>
        <v>145.00000000000028</v>
      </c>
      <c r="M42" s="57">
        <f>IF(Productos[[#This Row],[Stock]]&lt;0,"",+Productos[[#This Row],[Total2]]-Productos[[#This Row],[Total]])</f>
        <v>15.466666666666697</v>
      </c>
    </row>
    <row r="43" spans="1:13" x14ac:dyDescent="0.25">
      <c r="A43" t="s">
        <v>662</v>
      </c>
      <c r="B43" t="s">
        <v>167</v>
      </c>
      <c r="C43" t="s">
        <v>617</v>
      </c>
      <c r="D43" t="s">
        <v>421</v>
      </c>
      <c r="E43">
        <f>2*1.7+(14/10)</f>
        <v>4.8</v>
      </c>
      <c r="F43">
        <f>+SUMIF(Compras[[#All],[Codigo de Producto]],Productos[[#All],[Codigo de Producto]],Compras[[#All],[Cantidad]])</f>
        <v>0</v>
      </c>
      <c r="G43">
        <f>+SUMIF(Ventas[[#All],[Codigo de Producto]],Productos[[#All],[Codigo de Producto]],Ventas[[#All],[Cantidad]])</f>
        <v>4.3</v>
      </c>
      <c r="H43">
        <f>+Productos[[#This Row],[Existencias Iniciales]]+Productos[[#This Row],[Entradas]]-Productos[[#This Row],[Salidas]]</f>
        <v>0.5</v>
      </c>
      <c r="I43">
        <v>253</v>
      </c>
      <c r="J43">
        <f>IF(Productos[[#This Row],[Stock]]&lt;0,"",+Productos[[#This Row],[Stock]]*Productos[[#This Row],[Costo Unitario]])</f>
        <v>126.5</v>
      </c>
      <c r="K43">
        <v>300</v>
      </c>
      <c r="L43">
        <f>IF(Productos[[#This Row],[Stock]]&lt;0,"",+Productos[[#This Row],[Stock]]*Productos[[#This Row],[Precio Unitario]])</f>
        <v>150</v>
      </c>
      <c r="M43">
        <f>IF(Productos[[#This Row],[Stock]]&lt;0,"",+Productos[[#This Row],[Total2]]-Productos[[#This Row],[Total]])</f>
        <v>23.5</v>
      </c>
    </row>
    <row r="44" spans="1:13" x14ac:dyDescent="0.25">
      <c r="A44" t="s">
        <v>908</v>
      </c>
      <c r="B44" t="s">
        <v>167</v>
      </c>
      <c r="C44" t="s">
        <v>617</v>
      </c>
      <c r="D44" t="s">
        <v>356</v>
      </c>
      <c r="E44">
        <v>1.6</v>
      </c>
      <c r="F44" s="57">
        <f>+SUMIF(Compras[[#All],[Codigo de Producto]],Productos[[#All],[Codigo de Producto]],Compras[[#All],[Cantidad]])</f>
        <v>0</v>
      </c>
      <c r="G44" s="57">
        <f>+SUMIF(Ventas[[#All],[Codigo de Producto]],Productos[[#All],[Codigo de Producto]],Ventas[[#All],[Cantidad]])</f>
        <v>1</v>
      </c>
      <c r="H44" s="57">
        <f>+Productos[[#This Row],[Existencias Iniciales]]+Productos[[#This Row],[Entradas]]-Productos[[#This Row],[Salidas]]</f>
        <v>0.60000000000000009</v>
      </c>
      <c r="I44">
        <v>207</v>
      </c>
      <c r="J44" s="57">
        <f>IF(Productos[[#This Row],[Stock]]&lt;0,"",+Productos[[#This Row],[Stock]]*Productos[[#This Row],[Costo Unitario]])</f>
        <v>124.20000000000002</v>
      </c>
      <c r="K44">
        <v>240</v>
      </c>
      <c r="L44" s="57">
        <f>IF(Productos[[#This Row],[Stock]]&lt;0,"",+Productos[[#This Row],[Stock]]*Productos[[#This Row],[Precio Unitario]])</f>
        <v>144.00000000000003</v>
      </c>
      <c r="M44" s="57">
        <f>IF(Productos[[#This Row],[Stock]]&lt;0,"",+Productos[[#This Row],[Total2]]-Productos[[#This Row],[Total]])</f>
        <v>19.800000000000011</v>
      </c>
    </row>
    <row r="45" spans="1:13" x14ac:dyDescent="0.25">
      <c r="A45" t="s">
        <v>667</v>
      </c>
      <c r="B45" t="s">
        <v>167</v>
      </c>
      <c r="C45" t="s">
        <v>55</v>
      </c>
      <c r="D45" t="s">
        <v>576</v>
      </c>
      <c r="E45">
        <f>11+(8/12)</f>
        <v>11.666666666666666</v>
      </c>
      <c r="F45">
        <f>+SUMIF(Compras[[#All],[Codigo de Producto]],Productos[[#All],[Codigo de Producto]],Compras[[#All],[Cantidad]])</f>
        <v>0</v>
      </c>
      <c r="G45">
        <f>+SUMIF(Ventas[[#All],[Codigo de Producto]],Productos[[#All],[Codigo de Producto]],Ventas[[#All],[Cantidad]])</f>
        <v>11</v>
      </c>
      <c r="H45">
        <f>+Productos[[#This Row],[Existencias Iniciales]]+Productos[[#This Row],[Entradas]]-Productos[[#This Row],[Salidas]]</f>
        <v>0.66666666666666607</v>
      </c>
      <c r="I45">
        <v>268</v>
      </c>
      <c r="J45">
        <f>IF(Productos[[#This Row],[Stock]]&lt;0,"",+Productos[[#This Row],[Stock]]*Productos[[#This Row],[Costo Unitario]])</f>
        <v>178.66666666666652</v>
      </c>
      <c r="K45">
        <v>300</v>
      </c>
      <c r="L45">
        <f>IF(Productos[[#This Row],[Stock]]&lt;0,"",+Productos[[#This Row],[Stock]]*Productos[[#This Row],[Precio Unitario]])</f>
        <v>199.99999999999983</v>
      </c>
      <c r="M45">
        <f>IF(Productos[[#This Row],[Stock]]&lt;0,"",+Productos[[#This Row],[Total2]]-Productos[[#This Row],[Total]])</f>
        <v>21.333333333333314</v>
      </c>
    </row>
    <row r="46" spans="1:13" x14ac:dyDescent="0.25">
      <c r="A46" t="s">
        <v>739</v>
      </c>
      <c r="B46" t="s">
        <v>167</v>
      </c>
      <c r="C46" t="s">
        <v>55</v>
      </c>
      <c r="D46" t="s">
        <v>116</v>
      </c>
      <c r="F46" s="57">
        <f>+SUMIF(Compras[[#All],[Codigo de Producto]],Productos[[#All],[Codigo de Producto]],Compras[[#All],[Cantidad]])</f>
        <v>3</v>
      </c>
      <c r="G46" s="57">
        <f>+SUMIF(Ventas[[#All],[Codigo de Producto]],Productos[[#All],[Codigo de Producto]],Ventas[[#All],[Cantidad]])</f>
        <v>2.3333333333333335</v>
      </c>
      <c r="H46" s="57">
        <f>+Productos[[#This Row],[Existencias Iniciales]]+Productos[[#This Row],[Entradas]]-Productos[[#This Row],[Salidas]]</f>
        <v>0.66666666666666652</v>
      </c>
      <c r="I46">
        <v>268</v>
      </c>
      <c r="J46">
        <f>IF(Productos[[#This Row],[Stock]]&lt;0,"",+Productos[[#This Row],[Stock]]*Productos[[#This Row],[Costo Unitario]])</f>
        <v>178.66666666666663</v>
      </c>
      <c r="K46">
        <v>300</v>
      </c>
      <c r="L46" s="57">
        <f>IF(Productos[[#This Row],[Stock]]&lt;0,"",+Productos[[#This Row],[Stock]]*Productos[[#This Row],[Precio Unitario]])</f>
        <v>199.99999999999994</v>
      </c>
      <c r="M46" s="57">
        <f>IF(Productos[[#This Row],[Stock]]&lt;0,"",+Productos[[#This Row],[Total2]]-Productos[[#This Row],[Total]])</f>
        <v>21.333333333333314</v>
      </c>
    </row>
    <row r="47" spans="1:13" x14ac:dyDescent="0.25">
      <c r="A47" t="s">
        <v>885</v>
      </c>
      <c r="B47" t="s">
        <v>167</v>
      </c>
      <c r="C47" t="s">
        <v>70</v>
      </c>
      <c r="D47" t="s">
        <v>883</v>
      </c>
      <c r="F47" s="57">
        <f>+SUMIF(Compras[[#All],[Codigo de Producto]],Productos[[#All],[Codigo de Producto]],Compras[[#All],[Cantidad]])</f>
        <v>3</v>
      </c>
      <c r="G47" s="57">
        <f>+SUMIF(Ventas[[#All],[Codigo de Producto]],Productos[[#All],[Codigo de Producto]],Ventas[[#All],[Cantidad]])</f>
        <v>2</v>
      </c>
      <c r="H47" s="57">
        <f>+Productos[[#This Row],[Existencias Iniciales]]+Productos[[#This Row],[Entradas]]-Productos[[#This Row],[Salidas]]</f>
        <v>1</v>
      </c>
      <c r="I47">
        <f ca="1">+SUMIF(Compras[[#All],[Codigo de Producto]],Productos[[#All],[Codigo de Producto]],Compras[[#Headers],[Precio]])</f>
        <v>311</v>
      </c>
      <c r="J47" s="57">
        <f ca="1">IF(Productos[[#This Row],[Stock]]&lt;0,"",+Productos[[#This Row],[Stock]]*Productos[[#This Row],[Costo Unitario]])</f>
        <v>311</v>
      </c>
      <c r="K47">
        <v>400</v>
      </c>
      <c r="L47" s="57">
        <f>IF(Productos[[#This Row],[Stock]]&lt;0,"",+Productos[[#This Row],[Stock]]*Productos[[#This Row],[Precio Unitario]])</f>
        <v>400</v>
      </c>
      <c r="M47" s="57">
        <f ca="1">IF(Productos[[#This Row],[Stock]]&lt;0,"",+Productos[[#This Row],[Total2]]-Productos[[#This Row],[Total]])</f>
        <v>89</v>
      </c>
    </row>
    <row r="48" spans="1:13" x14ac:dyDescent="0.25">
      <c r="A48" t="s">
        <v>768</v>
      </c>
      <c r="B48" t="s">
        <v>395</v>
      </c>
      <c r="C48" t="s">
        <v>68</v>
      </c>
      <c r="D48" t="s">
        <v>756</v>
      </c>
      <c r="E48">
        <v>2</v>
      </c>
      <c r="F48" s="57">
        <f>+SUMIF(Compras[[#All],[Codigo de Producto]],Productos[[#All],[Codigo de Producto]],Compras[[#All],[Cantidad]])</f>
        <v>0</v>
      </c>
      <c r="G48" s="57">
        <f>+SUMIF(Ventas[[#All],[Codigo de Producto]],Productos[[#All],[Codigo de Producto]],Ventas[[#All],[Cantidad]])</f>
        <v>1</v>
      </c>
      <c r="H48" s="57">
        <f>+Productos[[#This Row],[Existencias Iniciales]]+Productos[[#This Row],[Entradas]]-Productos[[#This Row],[Salidas]]</f>
        <v>1</v>
      </c>
      <c r="I48">
        <f ca="1">+SUMIF(Compras[[#All],[Codigo de Producto]],Productos[[#All],[Codigo de Producto]],Compras[[#Headers],[Precio]])</f>
        <v>0</v>
      </c>
      <c r="J48" s="57">
        <f ca="1">IF(Productos[[#This Row],[Stock]]&lt;0,"",+Productos[[#This Row],[Stock]]*Productos[[#This Row],[Costo Unitario]])</f>
        <v>0</v>
      </c>
      <c r="K48">
        <v>50</v>
      </c>
      <c r="L48" s="57">
        <f>IF(Productos[[#This Row],[Stock]]&lt;0,"",+Productos[[#This Row],[Stock]]*Productos[[#This Row],[Precio Unitario]])</f>
        <v>50</v>
      </c>
      <c r="M48" s="57">
        <f ca="1">IF(Productos[[#This Row],[Stock]]&lt;0,"",+Productos[[#This Row],[Total2]]-Productos[[#This Row],[Total]])</f>
        <v>50</v>
      </c>
    </row>
    <row r="49" spans="1:13" x14ac:dyDescent="0.25">
      <c r="A49" t="s">
        <v>771</v>
      </c>
      <c r="B49" t="s">
        <v>395</v>
      </c>
      <c r="C49" t="s">
        <v>68</v>
      </c>
      <c r="D49" t="s">
        <v>761</v>
      </c>
      <c r="E49">
        <v>1</v>
      </c>
      <c r="F49" s="57">
        <f>+SUMIF(Compras[[#All],[Codigo de Producto]],Productos[[#All],[Codigo de Producto]],Compras[[#All],[Cantidad]])</f>
        <v>0</v>
      </c>
      <c r="G49" s="57">
        <f>+SUMIF(Ventas[[#All],[Codigo de Producto]],Productos[[#All],[Codigo de Producto]],Ventas[[#All],[Cantidad]])</f>
        <v>0</v>
      </c>
      <c r="H49" s="57">
        <f>+Productos[[#This Row],[Existencias Iniciales]]+Productos[[#This Row],[Entradas]]-Productos[[#This Row],[Salidas]]</f>
        <v>1</v>
      </c>
      <c r="I49">
        <f ca="1">+SUMIF(Compras[[#All],[Codigo de Producto]],Productos[[#All],[Codigo de Producto]],Compras[[#Headers],[Precio]])</f>
        <v>0</v>
      </c>
      <c r="J49" s="57">
        <f ca="1">IF(Productos[[#This Row],[Stock]]&lt;0,"",+Productos[[#This Row],[Stock]]*Productos[[#This Row],[Costo Unitario]])</f>
        <v>0</v>
      </c>
      <c r="K49">
        <v>70</v>
      </c>
      <c r="L49" s="57">
        <f>IF(Productos[[#This Row],[Stock]]&lt;0,"",+Productos[[#This Row],[Stock]]*Productos[[#This Row],[Precio Unitario]])</f>
        <v>70</v>
      </c>
      <c r="M49" s="57">
        <f ca="1">IF(Productos[[#This Row],[Stock]]&lt;0,"",+Productos[[#This Row],[Total2]]-Productos[[#This Row],[Total]])</f>
        <v>70</v>
      </c>
    </row>
    <row r="50" spans="1:13" x14ac:dyDescent="0.25">
      <c r="A50" t="s">
        <v>772</v>
      </c>
      <c r="B50" t="s">
        <v>395</v>
      </c>
      <c r="C50" t="s">
        <v>68</v>
      </c>
      <c r="D50" t="s">
        <v>762</v>
      </c>
      <c r="E50">
        <v>1</v>
      </c>
      <c r="F50" s="57">
        <f>+SUMIF(Compras[[#All],[Codigo de Producto]],Productos[[#All],[Codigo de Producto]],Compras[[#All],[Cantidad]])</f>
        <v>0</v>
      </c>
      <c r="G50" s="57">
        <f>+SUMIF(Ventas[[#All],[Codigo de Producto]],Productos[[#All],[Codigo de Producto]],Ventas[[#All],[Cantidad]])</f>
        <v>0</v>
      </c>
      <c r="H50" s="57">
        <f>+Productos[[#This Row],[Existencias Iniciales]]+Productos[[#This Row],[Entradas]]-Productos[[#This Row],[Salidas]]</f>
        <v>1</v>
      </c>
      <c r="I50">
        <f ca="1">+SUMIF(Compras[[#All],[Codigo de Producto]],Productos[[#All],[Codigo de Producto]],Compras[[#Headers],[Precio]])</f>
        <v>0</v>
      </c>
      <c r="J50" s="57">
        <f ca="1">IF(Productos[[#This Row],[Stock]]&lt;0,"",+Productos[[#This Row],[Stock]]*Productos[[#This Row],[Costo Unitario]])</f>
        <v>0</v>
      </c>
      <c r="K50">
        <v>100</v>
      </c>
      <c r="L50" s="57">
        <f>IF(Productos[[#This Row],[Stock]]&lt;0,"",+Productos[[#This Row],[Stock]]*Productos[[#This Row],[Precio Unitario]])</f>
        <v>100</v>
      </c>
      <c r="M50" s="57">
        <f ca="1">IF(Productos[[#This Row],[Stock]]&lt;0,"",+Productos[[#This Row],[Total2]]-Productos[[#This Row],[Total]])</f>
        <v>100</v>
      </c>
    </row>
    <row r="51" spans="1:13" x14ac:dyDescent="0.25">
      <c r="A51" t="s">
        <v>793</v>
      </c>
      <c r="B51" t="s">
        <v>163</v>
      </c>
      <c r="C51" t="s">
        <v>55</v>
      </c>
      <c r="D51" t="s">
        <v>787</v>
      </c>
      <c r="E51">
        <v>1</v>
      </c>
      <c r="F51" s="57">
        <f>+SUMIF(Compras[[#All],[Codigo de Producto]],Productos[[#All],[Codigo de Producto]],Compras[[#All],[Cantidad]])</f>
        <v>0</v>
      </c>
      <c r="G51" s="57">
        <f>+SUMIF(Ventas[[#All],[Codigo de Producto]],Productos[[#All],[Codigo de Producto]],Ventas[[#All],[Cantidad]])</f>
        <v>0</v>
      </c>
      <c r="H51" s="57">
        <f>+Productos[[#This Row],[Existencias Iniciales]]+Productos[[#This Row],[Entradas]]-Productos[[#This Row],[Salidas]]</f>
        <v>1</v>
      </c>
      <c r="I51">
        <f ca="1">+SUMIF(Compras[[#All],[Codigo de Producto]],Productos[[#All],[Codigo de Producto]],Compras[[#Headers],[Precio]])</f>
        <v>0</v>
      </c>
      <c r="J51" s="57">
        <f ca="1">IF(Productos[[#This Row],[Stock]]&lt;0,"",+Productos[[#This Row],[Stock]]*Productos[[#This Row],[Costo Unitario]])</f>
        <v>0</v>
      </c>
      <c r="K51">
        <v>400</v>
      </c>
      <c r="L51" s="57">
        <f>IF(Productos[[#This Row],[Stock]]&lt;0,"",+Productos[[#This Row],[Stock]]*Productos[[#This Row],[Precio Unitario]])</f>
        <v>400</v>
      </c>
      <c r="M51" s="57">
        <f ca="1">IF(Productos[[#This Row],[Stock]]&lt;0,"",+Productos[[#This Row],[Total2]]-Productos[[#This Row],[Total]])</f>
        <v>400</v>
      </c>
    </row>
    <row r="52" spans="1:13" x14ac:dyDescent="0.25">
      <c r="A52" t="s">
        <v>797</v>
      </c>
      <c r="B52" t="s">
        <v>167</v>
      </c>
      <c r="C52" t="s">
        <v>55</v>
      </c>
      <c r="D52" t="s">
        <v>790</v>
      </c>
      <c r="E52">
        <v>1</v>
      </c>
      <c r="F52" s="57">
        <f>+SUMIF(Compras[[#All],[Codigo de Producto]],Productos[[#All],[Codigo de Producto]],Compras[[#All],[Cantidad]])</f>
        <v>0</v>
      </c>
      <c r="G52" s="57">
        <f>+SUMIF(Ventas[[#All],[Codigo de Producto]],Productos[[#All],[Codigo de Producto]],Ventas[[#All],[Cantidad]])</f>
        <v>0</v>
      </c>
      <c r="H52" s="57">
        <f>+Productos[[#This Row],[Existencias Iniciales]]+Productos[[#This Row],[Entradas]]-Productos[[#This Row],[Salidas]]</f>
        <v>1</v>
      </c>
      <c r="I52">
        <v>1000</v>
      </c>
      <c r="J52" s="57">
        <f>IF(Productos[[#This Row],[Stock]]&lt;0,"",+Productos[[#This Row],[Stock]]*Productos[[#This Row],[Costo Unitario]])</f>
        <v>1000</v>
      </c>
      <c r="K52">
        <v>1500</v>
      </c>
      <c r="L52" s="57">
        <f>IF(Productos[[#This Row],[Stock]]&lt;0,"",+Productos[[#This Row],[Stock]]*Productos[[#This Row],[Precio Unitario]])</f>
        <v>1500</v>
      </c>
      <c r="M52" s="57">
        <f>IF(Productos[[#This Row],[Stock]]&lt;0,"",+Productos[[#This Row],[Total2]]-Productos[[#This Row],[Total]])</f>
        <v>500</v>
      </c>
    </row>
    <row r="53" spans="1:13" x14ac:dyDescent="0.25">
      <c r="A53" t="s">
        <v>799</v>
      </c>
      <c r="B53" t="s">
        <v>163</v>
      </c>
      <c r="C53" t="s">
        <v>55</v>
      </c>
      <c r="D53" t="s">
        <v>798</v>
      </c>
      <c r="E53">
        <v>1</v>
      </c>
      <c r="F53" s="57">
        <f>+SUMIF(Compras[[#All],[Codigo de Producto]],Productos[[#All],[Codigo de Producto]],Compras[[#All],[Cantidad]])</f>
        <v>0</v>
      </c>
      <c r="G53" s="57">
        <f>+SUMIF(Ventas[[#All],[Codigo de Producto]],Productos[[#All],[Codigo de Producto]],Ventas[[#All],[Cantidad]])</f>
        <v>0</v>
      </c>
      <c r="H53" s="57">
        <f>+Productos[[#This Row],[Existencias Iniciales]]+Productos[[#This Row],[Entradas]]-Productos[[#This Row],[Salidas]]</f>
        <v>1</v>
      </c>
      <c r="I53">
        <v>1109</v>
      </c>
      <c r="J53" s="57">
        <f>IF(Productos[[#This Row],[Stock]]&lt;0,"",+Productos[[#This Row],[Stock]]*Productos[[#This Row],[Costo Unitario]])</f>
        <v>1109</v>
      </c>
      <c r="K53">
        <v>1500</v>
      </c>
      <c r="L53" s="57">
        <f>IF(Productos[[#This Row],[Stock]]&lt;0,"",+Productos[[#This Row],[Stock]]*Productos[[#This Row],[Precio Unitario]])</f>
        <v>1500</v>
      </c>
      <c r="M53" s="57">
        <f>IF(Productos[[#This Row],[Stock]]&lt;0,"",+Productos[[#This Row],[Total2]]-Productos[[#This Row],[Total]])</f>
        <v>391</v>
      </c>
    </row>
    <row r="54" spans="1:13" x14ac:dyDescent="0.25">
      <c r="A54" t="s">
        <v>621</v>
      </c>
      <c r="B54" t="s">
        <v>167</v>
      </c>
      <c r="C54" t="s">
        <v>70</v>
      </c>
      <c r="D54" t="s">
        <v>192</v>
      </c>
      <c r="E54">
        <v>1</v>
      </c>
      <c r="F54">
        <f>+SUMIF(Compras[[#All],[Codigo de Producto]],Productos[[#All],[Codigo de Producto]],Compras[[#All],[Cantidad]])</f>
        <v>1</v>
      </c>
      <c r="G54">
        <f>+SUMIF(Ventas[[#All],[Codigo de Producto]],Productos[[#All],[Codigo de Producto]],Ventas[[#All],[Cantidad]])</f>
        <v>1</v>
      </c>
      <c r="H54">
        <f>+Productos[[#This Row],[Existencias Iniciales]]+Productos[[#This Row],[Entradas]]-Productos[[#This Row],[Salidas]]</f>
        <v>1</v>
      </c>
      <c r="I54">
        <v>1630</v>
      </c>
      <c r="J54">
        <f>IF(Productos[[#This Row],[Stock]]&lt;0,"",+Productos[[#This Row],[Stock]]*Productos[[#This Row],[Costo Unitario]])</f>
        <v>1630</v>
      </c>
      <c r="K54">
        <v>1850</v>
      </c>
      <c r="L54">
        <f>IF(Productos[[#This Row],[Stock]]&lt;0,"",+Productos[[#This Row],[Stock]]*Productos[[#This Row],[Precio Unitario]])</f>
        <v>1850</v>
      </c>
      <c r="M54">
        <f>IF(Productos[[#This Row],[Stock]]&lt;0,"",+Productos[[#This Row],[Total2]]-Productos[[#This Row],[Total]])</f>
        <v>220</v>
      </c>
    </row>
    <row r="55" spans="1:13" x14ac:dyDescent="0.25">
      <c r="A55" t="s">
        <v>683</v>
      </c>
      <c r="B55" t="s">
        <v>167</v>
      </c>
      <c r="C55" t="s">
        <v>70</v>
      </c>
      <c r="D55" t="s">
        <v>269</v>
      </c>
      <c r="E55">
        <v>1</v>
      </c>
      <c r="F55">
        <f>+SUMIF(Compras[[#All],[Codigo de Producto]],Productos[[#All],[Codigo de Producto]],Compras[[#All],[Cantidad]])</f>
        <v>2</v>
      </c>
      <c r="G55">
        <f>+SUMIF(Ventas[[#All],[Codigo de Producto]],Productos[[#All],[Codigo de Producto]],Ventas[[#All],[Cantidad]])</f>
        <v>2</v>
      </c>
      <c r="H55">
        <f>+Productos[[#This Row],[Existencias Iniciales]]+Productos[[#This Row],[Entradas]]-Productos[[#This Row],[Salidas]]</f>
        <v>1</v>
      </c>
      <c r="I55">
        <v>1707</v>
      </c>
      <c r="J55">
        <f>IF(Productos[[#This Row],[Stock]]&lt;0,"",+Productos[[#This Row],[Stock]]*Productos[[#This Row],[Costo Unitario]])</f>
        <v>1707</v>
      </c>
      <c r="K55">
        <v>1950</v>
      </c>
      <c r="L55">
        <f>IF(Productos[[#This Row],[Stock]]&lt;0,"",+Productos[[#This Row],[Stock]]*Productos[[#This Row],[Precio Unitario]])</f>
        <v>1950</v>
      </c>
      <c r="M55">
        <f>IF(Productos[[#This Row],[Stock]]&lt;0,"",+Productos[[#This Row],[Total2]]-Productos[[#This Row],[Total]])</f>
        <v>243</v>
      </c>
    </row>
    <row r="56" spans="1:13" x14ac:dyDescent="0.25">
      <c r="A56" t="s">
        <v>877</v>
      </c>
      <c r="B56" t="s">
        <v>167</v>
      </c>
      <c r="C56" t="s">
        <v>85</v>
      </c>
      <c r="D56" t="s">
        <v>500</v>
      </c>
      <c r="F56" s="57">
        <f>+SUMIF(Compras[[#All],[Codigo de Producto]],Productos[[#All],[Codigo de Producto]],Compras[[#All],[Cantidad]])</f>
        <v>1</v>
      </c>
      <c r="G56" s="57">
        <f>+SUMIF(Ventas[[#All],[Codigo de Producto]],Productos[[#All],[Codigo de Producto]],Ventas[[#All],[Cantidad]])</f>
        <v>0</v>
      </c>
      <c r="H56" s="57">
        <f>+Productos[[#This Row],[Existencias Iniciales]]+Productos[[#This Row],[Entradas]]-Productos[[#This Row],[Salidas]]</f>
        <v>1</v>
      </c>
      <c r="I56">
        <f ca="1">+SUMIF(Compras[[#All],[Codigo de Producto]],Productos[[#All],[Codigo de Producto]],Compras[[#Headers],[Precio]])</f>
        <v>789</v>
      </c>
      <c r="J56" s="57">
        <f ca="1">IF(Productos[[#This Row],[Stock]]&lt;0,"",+Productos[[#This Row],[Stock]]*Productos[[#This Row],[Costo Unitario]])</f>
        <v>789</v>
      </c>
      <c r="K56">
        <v>1450</v>
      </c>
      <c r="L56" s="57">
        <f>IF(Productos[[#This Row],[Stock]]&lt;0,"",+Productos[[#This Row],[Stock]]*Productos[[#This Row],[Precio Unitario]])</f>
        <v>1450</v>
      </c>
      <c r="M56" s="57">
        <f ca="1">IF(Productos[[#This Row],[Stock]]&lt;0,"",+Productos[[#This Row],[Total2]]-Productos[[#This Row],[Total]])</f>
        <v>661</v>
      </c>
    </row>
    <row r="57" spans="1:13" x14ac:dyDescent="0.25">
      <c r="A57" t="s">
        <v>623</v>
      </c>
      <c r="B57" t="s">
        <v>167</v>
      </c>
      <c r="C57" t="s">
        <v>85</v>
      </c>
      <c r="D57" t="s">
        <v>593</v>
      </c>
      <c r="E57">
        <v>1</v>
      </c>
      <c r="F57">
        <f>+SUMIF(Compras[[#All],[Codigo de Producto]],Productos[[#All],[Codigo de Producto]],Compras[[#All],[Cantidad]])</f>
        <v>0</v>
      </c>
      <c r="G57">
        <f>+SUMIF(Ventas[[#All],[Codigo de Producto]],Productos[[#All],[Codigo de Producto]],Ventas[[#All],[Cantidad]])</f>
        <v>0</v>
      </c>
      <c r="H57">
        <f>+Productos[[#This Row],[Existencias Iniciales]]+Productos[[#This Row],[Entradas]]-Productos[[#This Row],[Salidas]]</f>
        <v>1</v>
      </c>
      <c r="I57">
        <v>751</v>
      </c>
      <c r="J57">
        <f>IF(Productos[[#This Row],[Stock]]&lt;0,"",+Productos[[#This Row],[Stock]]*Productos[[#This Row],[Costo Unitario]])</f>
        <v>751</v>
      </c>
      <c r="K57">
        <v>1450</v>
      </c>
      <c r="L57">
        <f>IF(Productos[[#This Row],[Stock]]&lt;0,"",+Productos[[#This Row],[Stock]]*Productos[[#This Row],[Precio Unitario]])</f>
        <v>1450</v>
      </c>
      <c r="M57">
        <f>IF(Productos[[#This Row],[Stock]]&lt;0,"",+Productos[[#This Row],[Total2]]-Productos[[#This Row],[Total]])</f>
        <v>699</v>
      </c>
    </row>
    <row r="58" spans="1:13" x14ac:dyDescent="0.25">
      <c r="A58" t="s">
        <v>622</v>
      </c>
      <c r="B58" t="s">
        <v>167</v>
      </c>
      <c r="C58" t="s">
        <v>85</v>
      </c>
      <c r="D58" t="s">
        <v>406</v>
      </c>
      <c r="E58">
        <v>1</v>
      </c>
      <c r="F58">
        <f>+SUMIF(Compras[[#All],[Codigo de Producto]],Productos[[#All],[Codigo de Producto]],Compras[[#All],[Cantidad]])</f>
        <v>0</v>
      </c>
      <c r="G58">
        <f>+SUMIF(Ventas[[#All],[Codigo de Producto]],Productos[[#All],[Codigo de Producto]],Ventas[[#All],[Cantidad]])</f>
        <v>0</v>
      </c>
      <c r="H58">
        <f>+Productos[[#This Row],[Existencias Iniciales]]+Productos[[#This Row],[Entradas]]-Productos[[#This Row],[Salidas]]</f>
        <v>1</v>
      </c>
      <c r="I58">
        <v>751</v>
      </c>
      <c r="J58">
        <f>IF(Productos[[#This Row],[Stock]]&lt;0,"",+Productos[[#This Row],[Stock]]*Productos[[#This Row],[Costo Unitario]])</f>
        <v>751</v>
      </c>
      <c r="K58">
        <v>1450</v>
      </c>
      <c r="L58">
        <f>IF(Productos[[#This Row],[Stock]]&lt;0,"",+Productos[[#This Row],[Stock]]*Productos[[#This Row],[Precio Unitario]])</f>
        <v>1450</v>
      </c>
      <c r="M58">
        <f>IF(Productos[[#This Row],[Stock]]&lt;0,"",+Productos[[#This Row],[Total2]]-Productos[[#This Row],[Total]])</f>
        <v>699</v>
      </c>
    </row>
    <row r="59" spans="1:13" x14ac:dyDescent="0.25">
      <c r="A59" t="s">
        <v>855</v>
      </c>
      <c r="B59" t="s">
        <v>167</v>
      </c>
      <c r="C59" t="s">
        <v>85</v>
      </c>
      <c r="D59" t="s">
        <v>594</v>
      </c>
      <c r="E59">
        <v>1</v>
      </c>
      <c r="F59">
        <f>+SUMIF(Compras[[#All],[Codigo de Producto]],Productos[[#All],[Codigo de Producto]],Compras[[#All],[Cantidad]])</f>
        <v>1</v>
      </c>
      <c r="G59">
        <f>+SUMIF(Ventas[[#All],[Codigo de Producto]],Productos[[#All],[Codigo de Producto]],Ventas[[#All],[Cantidad]])</f>
        <v>1</v>
      </c>
      <c r="H59">
        <f>+Productos[[#This Row],[Existencias Iniciales]]+Productos[[#This Row],[Entradas]]-Productos[[#This Row],[Salidas]]</f>
        <v>1</v>
      </c>
      <c r="I59">
        <v>751</v>
      </c>
      <c r="J59">
        <f>IF(Productos[[#This Row],[Stock]]&lt;0,"",+Productos[[#This Row],[Stock]]*Productos[[#This Row],[Costo Unitario]])</f>
        <v>751</v>
      </c>
      <c r="K59">
        <v>1450</v>
      </c>
      <c r="L59">
        <f>IF(Productos[[#This Row],[Stock]]&lt;0,"",+Productos[[#This Row],[Stock]]*Productos[[#This Row],[Precio Unitario]])</f>
        <v>1450</v>
      </c>
      <c r="M59">
        <f>IF(Productos[[#This Row],[Stock]]&lt;0,"",+Productos[[#This Row],[Total2]]-Productos[[#This Row],[Total]])</f>
        <v>699</v>
      </c>
    </row>
    <row r="60" spans="1:13" x14ac:dyDescent="0.25">
      <c r="A60" t="s">
        <v>624</v>
      </c>
      <c r="B60" t="s">
        <v>167</v>
      </c>
      <c r="C60" t="s">
        <v>85</v>
      </c>
      <c r="D60" t="s">
        <v>614</v>
      </c>
      <c r="E60">
        <v>1</v>
      </c>
      <c r="F60">
        <f>+SUMIF(Compras[[#All],[Codigo de Producto]],Productos[[#All],[Codigo de Producto]],Compras[[#All],[Cantidad]])</f>
        <v>0</v>
      </c>
      <c r="G60">
        <f>+SUMIF(Ventas[[#All],[Codigo de Producto]],Productos[[#All],[Codigo de Producto]],Ventas[[#All],[Cantidad]])</f>
        <v>0</v>
      </c>
      <c r="H60">
        <f>+Productos[[#This Row],[Existencias Iniciales]]+Productos[[#This Row],[Entradas]]-Productos[[#This Row],[Salidas]]</f>
        <v>1</v>
      </c>
      <c r="I60">
        <v>789</v>
      </c>
      <c r="J60">
        <f>IF(Productos[[#This Row],[Stock]]&lt;0,"",+Productos[[#This Row],[Stock]]*Productos[[#This Row],[Costo Unitario]])</f>
        <v>789</v>
      </c>
      <c r="K60">
        <v>1450</v>
      </c>
      <c r="L60">
        <f>IF(Productos[[#This Row],[Stock]]&lt;0,"",+Productos[[#This Row],[Stock]]*Productos[[#This Row],[Precio Unitario]])</f>
        <v>1450</v>
      </c>
      <c r="M60">
        <f>IF(Productos[[#This Row],[Stock]]&lt;0,"",+Productos[[#This Row],[Total2]]-Productos[[#This Row],[Total]])</f>
        <v>661</v>
      </c>
    </row>
    <row r="61" spans="1:13" x14ac:dyDescent="0.25">
      <c r="A61" t="s">
        <v>878</v>
      </c>
      <c r="B61" t="s">
        <v>167</v>
      </c>
      <c r="C61" t="s">
        <v>85</v>
      </c>
      <c r="D61" t="s">
        <v>876</v>
      </c>
      <c r="F61" s="57">
        <f>+SUMIF(Compras[[#All],[Codigo de Producto]],Productos[[#All],[Codigo de Producto]],Compras[[#All],[Cantidad]])</f>
        <v>1</v>
      </c>
      <c r="G61" s="57">
        <f>+SUMIF(Ventas[[#All],[Codigo de Producto]],Productos[[#All],[Codigo de Producto]],Ventas[[#All],[Cantidad]])</f>
        <v>0</v>
      </c>
      <c r="H61" s="57">
        <f>+Productos[[#This Row],[Existencias Iniciales]]+Productos[[#This Row],[Entradas]]-Productos[[#This Row],[Salidas]]</f>
        <v>1</v>
      </c>
      <c r="I61">
        <f ca="1">+SUMIF(Compras[[#All],[Codigo de Producto]],Productos[[#All],[Codigo de Producto]],Compras[[#Headers],[Precio]])</f>
        <v>789</v>
      </c>
      <c r="J61" s="57">
        <f ca="1">IF(Productos[[#This Row],[Stock]]&lt;0,"",+Productos[[#This Row],[Stock]]*Productos[[#This Row],[Costo Unitario]])</f>
        <v>789</v>
      </c>
      <c r="K61">
        <v>1450</v>
      </c>
      <c r="L61" s="57">
        <f>IF(Productos[[#This Row],[Stock]]&lt;0,"",+Productos[[#This Row],[Stock]]*Productos[[#This Row],[Precio Unitario]])</f>
        <v>1450</v>
      </c>
      <c r="M61" s="57">
        <f ca="1">IF(Productos[[#This Row],[Stock]]&lt;0,"",+Productos[[#This Row],[Total2]]-Productos[[#This Row],[Total]])</f>
        <v>661</v>
      </c>
    </row>
    <row r="62" spans="1:13" x14ac:dyDescent="0.25">
      <c r="A62" t="s">
        <v>717</v>
      </c>
      <c r="B62" t="s">
        <v>198</v>
      </c>
      <c r="C62" t="s">
        <v>85</v>
      </c>
      <c r="D62" t="s">
        <v>266</v>
      </c>
      <c r="E62">
        <v>2</v>
      </c>
      <c r="F62" s="57">
        <f>+SUMIF(Compras[[#All],[Codigo de Producto]],Productos[[#All],[Codigo de Producto]],Compras[[#All],[Cantidad]])</f>
        <v>0</v>
      </c>
      <c r="G62" s="57">
        <f>+SUMIF(Ventas[[#All],[Codigo de Producto]],Productos[[#All],[Codigo de Producto]],Ventas[[#All],[Cantidad]])</f>
        <v>1</v>
      </c>
      <c r="H62" s="57">
        <f>+Productos[[#This Row],[Existencias Iniciales]]+Productos[[#This Row],[Entradas]]-Productos[[#This Row],[Salidas]]</f>
        <v>1</v>
      </c>
      <c r="I62">
        <v>170</v>
      </c>
      <c r="J62">
        <f>IF(Productos[[#This Row],[Stock]]&lt;0,"",+Productos[[#This Row],[Stock]]*Productos[[#This Row],[Costo Unitario]])</f>
        <v>170</v>
      </c>
      <c r="K62">
        <v>250</v>
      </c>
      <c r="L62" s="57">
        <f>IF(Productos[[#This Row],[Stock]]&lt;0,"",+Productos[[#This Row],[Stock]]*Productos[[#This Row],[Precio Unitario]])</f>
        <v>250</v>
      </c>
      <c r="M62" s="57">
        <f>IF(Productos[[#This Row],[Stock]]&lt;0,"",+Productos[[#This Row],[Total2]]-Productos[[#This Row],[Total]])</f>
        <v>80</v>
      </c>
    </row>
    <row r="63" spans="1:13" x14ac:dyDescent="0.25">
      <c r="A63" t="s">
        <v>857</v>
      </c>
      <c r="B63" t="s">
        <v>167</v>
      </c>
      <c r="C63" t="s">
        <v>617</v>
      </c>
      <c r="D63" t="s">
        <v>233</v>
      </c>
      <c r="E63">
        <v>2</v>
      </c>
      <c r="F63" s="57">
        <f>+SUMIF(Compras[[#All],[Codigo de Producto]],Productos[[#All],[Codigo de Producto]],Compras[[#All],[Cantidad]])</f>
        <v>0</v>
      </c>
      <c r="G63" s="57">
        <f>+SUMIF(Ventas[[#All],[Codigo de Producto]],Productos[[#All],[Codigo de Producto]],Ventas[[#All],[Cantidad]])</f>
        <v>1</v>
      </c>
      <c r="H63" s="57">
        <f>+Productos[[#This Row],[Existencias Iniciales]]+Productos[[#This Row],[Entradas]]-Productos[[#This Row],[Salidas]]</f>
        <v>1</v>
      </c>
      <c r="I63">
        <v>268</v>
      </c>
      <c r="J63" s="57">
        <f>IF(Productos[[#This Row],[Stock]]&lt;0,"",+Productos[[#This Row],[Stock]]*Productos[[#This Row],[Costo Unitario]])</f>
        <v>268</v>
      </c>
      <c r="K63">
        <v>300</v>
      </c>
      <c r="L63" s="57">
        <f>IF(Productos[[#This Row],[Stock]]&lt;0,"",+Productos[[#This Row],[Stock]]*Productos[[#This Row],[Precio Unitario]])</f>
        <v>300</v>
      </c>
      <c r="M63" s="57">
        <f>IF(Productos[[#This Row],[Stock]]&lt;0,"",+Productos[[#This Row],[Total2]]-Productos[[#This Row],[Total]])</f>
        <v>32</v>
      </c>
    </row>
    <row r="64" spans="1:13" x14ac:dyDescent="0.25">
      <c r="A64" t="s">
        <v>745</v>
      </c>
      <c r="B64" t="s">
        <v>167</v>
      </c>
      <c r="C64" t="s">
        <v>78</v>
      </c>
      <c r="D64" t="s">
        <v>749</v>
      </c>
      <c r="F64" s="57">
        <f>+SUMIF(Compras[[#All],[Codigo de Producto]],Productos[[#All],[Codigo de Producto]],Compras[[#All],[Cantidad]])</f>
        <v>1</v>
      </c>
      <c r="G64" s="57">
        <f>+SUMIF(Ventas[[#All],[Codigo de Producto]],Productos[[#All],[Codigo de Producto]],Ventas[[#All],[Cantidad]])</f>
        <v>0</v>
      </c>
      <c r="H64" s="57">
        <f>+Productos[[#This Row],[Existencias Iniciales]]+Productos[[#This Row],[Entradas]]-Productos[[#This Row],[Salidas]]</f>
        <v>1</v>
      </c>
      <c r="I64">
        <v>1315</v>
      </c>
      <c r="J64">
        <f>IF(Productos[[#This Row],[Stock]]&lt;0,"",+Productos[[#This Row],[Stock]]*Productos[[#This Row],[Costo Unitario]])</f>
        <v>1315</v>
      </c>
      <c r="K64">
        <v>1550</v>
      </c>
      <c r="L64" s="57">
        <f>IF(Productos[[#This Row],[Stock]]&lt;0,"",+Productos[[#This Row],[Stock]]*Productos[[#This Row],[Precio Unitario]])</f>
        <v>1550</v>
      </c>
      <c r="M64" s="57">
        <f>IF(Productos[[#This Row],[Stock]]&lt;0,"",+Productos[[#This Row],[Total2]]-Productos[[#This Row],[Total]])</f>
        <v>235</v>
      </c>
    </row>
    <row r="65" spans="1:13" x14ac:dyDescent="0.25">
      <c r="A65" t="s">
        <v>898</v>
      </c>
      <c r="B65" t="s">
        <v>237</v>
      </c>
      <c r="C65" t="s">
        <v>78</v>
      </c>
      <c r="D65" t="s">
        <v>897</v>
      </c>
      <c r="F65" s="57">
        <f>+SUMIF(Compras[[#All],[Codigo de Producto]],Productos[[#All],[Codigo de Producto]],Compras[[#All],[Cantidad]])</f>
        <v>1</v>
      </c>
      <c r="G65" s="57">
        <f>+SUMIF(Ventas[[#All],[Codigo de Producto]],Productos[[#All],[Codigo de Producto]],Ventas[[#All],[Cantidad]])</f>
        <v>0</v>
      </c>
      <c r="H65" s="57">
        <f>+Productos[[#This Row],[Existencias Iniciales]]+Productos[[#This Row],[Entradas]]-Productos[[#This Row],[Salidas]]</f>
        <v>1</v>
      </c>
      <c r="I65">
        <f ca="1">+SUMIF(Compras[[#All],[Codigo de Producto]],Productos[[#All],[Codigo de Producto]],Compras[[#Headers],[Precio]])</f>
        <v>1100</v>
      </c>
      <c r="J65" s="57">
        <f ca="1">IF(Productos[[#This Row],[Stock]]&lt;0,"",+Productos[[#This Row],[Stock]]*Productos[[#This Row],[Costo Unitario]])</f>
        <v>1100</v>
      </c>
      <c r="K65">
        <v>1500</v>
      </c>
      <c r="L65" s="57">
        <f>IF(Productos[[#This Row],[Stock]]&lt;0,"",+Productos[[#This Row],[Stock]]*Productos[[#This Row],[Precio Unitario]])</f>
        <v>1500</v>
      </c>
      <c r="M65" s="57">
        <f ca="1">IF(Productos[[#This Row],[Stock]]&lt;0,"",+Productos[[#This Row],[Total2]]-Productos[[#This Row],[Total]])</f>
        <v>400</v>
      </c>
    </row>
    <row r="66" spans="1:13" x14ac:dyDescent="0.25">
      <c r="A66" t="s">
        <v>740</v>
      </c>
      <c r="B66" t="s">
        <v>167</v>
      </c>
      <c r="C66" t="s">
        <v>78</v>
      </c>
      <c r="D66" t="s">
        <v>79</v>
      </c>
      <c r="F66" s="57">
        <f>+SUMIF(Compras[[#All],[Codigo de Producto]],Productos[[#All],[Codigo de Producto]],Compras[[#All],[Cantidad]])</f>
        <v>2</v>
      </c>
      <c r="G66" s="57">
        <f>+SUMIF(Ventas[[#All],[Codigo de Producto]],Productos[[#All],[Codigo de Producto]],Ventas[[#All],[Cantidad]])</f>
        <v>1</v>
      </c>
      <c r="H66" s="57">
        <f>+Productos[[#This Row],[Existencias Iniciales]]+Productos[[#This Row],[Entradas]]-Productos[[#This Row],[Salidas]]</f>
        <v>1</v>
      </c>
      <c r="I66">
        <v>1260</v>
      </c>
      <c r="J66">
        <f>IF(Productos[[#This Row],[Stock]]&lt;0,"",+Productos[[#This Row],[Stock]]*Productos[[#This Row],[Costo Unitario]])</f>
        <v>1260</v>
      </c>
      <c r="K66">
        <v>1550</v>
      </c>
      <c r="L66" s="57">
        <f>IF(Productos[[#This Row],[Stock]]&lt;0,"",+Productos[[#This Row],[Stock]]*Productos[[#This Row],[Precio Unitario]])</f>
        <v>1550</v>
      </c>
      <c r="M66" s="57">
        <f>IF(Productos[[#This Row],[Stock]]&lt;0,"",+Productos[[#This Row],[Total2]]-Productos[[#This Row],[Total]])</f>
        <v>290</v>
      </c>
    </row>
    <row r="67" spans="1:13" x14ac:dyDescent="0.25">
      <c r="A67" t="s">
        <v>786</v>
      </c>
      <c r="B67" t="s">
        <v>198</v>
      </c>
      <c r="C67" t="s">
        <v>68</v>
      </c>
      <c r="D67" t="s">
        <v>781</v>
      </c>
      <c r="E67">
        <v>1</v>
      </c>
      <c r="F67" s="57">
        <f>+SUMIF(Compras[[#All],[Codigo de Producto]],Productos[[#All],[Codigo de Producto]],Compras[[#All],[Cantidad]])</f>
        <v>0</v>
      </c>
      <c r="G67" s="57">
        <f>+SUMIF(Ventas[[#All],[Codigo de Producto]],Productos[[#All],[Codigo de Producto]],Ventas[[#All],[Cantidad]])</f>
        <v>0</v>
      </c>
      <c r="H67" s="57">
        <f>+Productos[[#This Row],[Existencias Iniciales]]+Productos[[#This Row],[Entradas]]-Productos[[#This Row],[Salidas]]</f>
        <v>1</v>
      </c>
      <c r="I67">
        <f ca="1">+SUMIF(Compras[[#All],[Codigo de Producto]],Productos[[#All],[Codigo de Producto]],Compras[[#Headers],[Precio]])</f>
        <v>0</v>
      </c>
      <c r="J67" s="57">
        <f ca="1">IF(Productos[[#This Row],[Stock]]&lt;0,"",+Productos[[#This Row],[Stock]]*Productos[[#This Row],[Costo Unitario]])</f>
        <v>0</v>
      </c>
      <c r="K67">
        <v>210</v>
      </c>
      <c r="L67" s="57">
        <f>IF(Productos[[#This Row],[Stock]]&lt;0,"",+Productos[[#This Row],[Stock]]*Productos[[#This Row],[Precio Unitario]])</f>
        <v>210</v>
      </c>
      <c r="M67" s="57">
        <f ca="1">IF(Productos[[#This Row],[Stock]]&lt;0,"",+Productos[[#This Row],[Total2]]-Productos[[#This Row],[Total]])</f>
        <v>210</v>
      </c>
    </row>
    <row r="68" spans="1:13" x14ac:dyDescent="0.25">
      <c r="A68" t="s">
        <v>803</v>
      </c>
      <c r="B68" t="s">
        <v>198</v>
      </c>
      <c r="C68" t="s">
        <v>78</v>
      </c>
      <c r="D68" t="s">
        <v>802</v>
      </c>
      <c r="E68">
        <v>1</v>
      </c>
      <c r="F68" s="57">
        <f>+SUMIF(Compras[[#All],[Codigo de Producto]],Productos[[#All],[Codigo de Producto]],Compras[[#All],[Cantidad]])</f>
        <v>0</v>
      </c>
      <c r="G68" s="57">
        <f>+SUMIF(Ventas[[#All],[Codigo de Producto]],Productos[[#All],[Codigo de Producto]],Ventas[[#All],[Cantidad]])</f>
        <v>0</v>
      </c>
      <c r="H68" s="57">
        <f>+Productos[[#This Row],[Existencias Iniciales]]+Productos[[#This Row],[Entradas]]-Productos[[#This Row],[Salidas]]</f>
        <v>1</v>
      </c>
      <c r="I68">
        <f ca="1">+SUMIF(Compras[[#All],[Codigo de Producto]],Productos[[#All],[Codigo de Producto]],Compras[[#Headers],[Precio]])</f>
        <v>0</v>
      </c>
      <c r="J68" s="57">
        <f ca="1">IF(Productos[[#This Row],[Stock]]&lt;0,"",+Productos[[#This Row],[Stock]]*Productos[[#This Row],[Costo Unitario]])</f>
        <v>0</v>
      </c>
      <c r="K68">
        <v>1900</v>
      </c>
      <c r="L68" s="57">
        <f>IF(Productos[[#This Row],[Stock]]&lt;0,"",+Productos[[#This Row],[Stock]]*Productos[[#This Row],[Precio Unitario]])</f>
        <v>1900</v>
      </c>
      <c r="M68" s="57">
        <f ca="1">IF(Productos[[#This Row],[Stock]]&lt;0,"",+Productos[[#This Row],[Total2]]-Productos[[#This Row],[Total]])</f>
        <v>1900</v>
      </c>
    </row>
    <row r="69" spans="1:13" x14ac:dyDescent="0.25">
      <c r="A69" t="s">
        <v>675</v>
      </c>
      <c r="B69" t="s">
        <v>167</v>
      </c>
      <c r="C69" t="s">
        <v>85</v>
      </c>
      <c r="D69" t="s">
        <v>253</v>
      </c>
      <c r="E69">
        <v>2</v>
      </c>
      <c r="F69">
        <f>+SUMIF(Compras[[#All],[Codigo de Producto]],Productos[[#All],[Codigo de Producto]],Compras[[#All],[Cantidad]])</f>
        <v>0</v>
      </c>
      <c r="G69">
        <f>+SUMIF(Ventas[[#All],[Codigo de Producto]],Productos[[#All],[Codigo de Producto]],Ventas[[#All],[Cantidad]])</f>
        <v>1</v>
      </c>
      <c r="H69">
        <f>+Productos[[#This Row],[Existencias Iniciales]]+Productos[[#This Row],[Entradas]]-Productos[[#This Row],[Salidas]]</f>
        <v>1</v>
      </c>
      <c r="I69">
        <v>395</v>
      </c>
      <c r="J69">
        <f>IF(Productos[[#This Row],[Stock]]&lt;0,"",+Productos[[#This Row],[Stock]]*Productos[[#This Row],[Costo Unitario]])</f>
        <v>395</v>
      </c>
      <c r="K69">
        <v>900</v>
      </c>
      <c r="L69">
        <f>IF(Productos[[#This Row],[Stock]]&lt;0,"",+Productos[[#This Row],[Stock]]*Productos[[#This Row],[Precio Unitario]])</f>
        <v>900</v>
      </c>
      <c r="M69">
        <f>IF(Productos[[#This Row],[Stock]]&lt;0,"",+Productos[[#This Row],[Total2]]-Productos[[#This Row],[Total]])</f>
        <v>505</v>
      </c>
    </row>
    <row r="70" spans="1:13" x14ac:dyDescent="0.25">
      <c r="A70" t="s">
        <v>711</v>
      </c>
      <c r="B70" t="s">
        <v>167</v>
      </c>
      <c r="C70" t="s">
        <v>85</v>
      </c>
      <c r="D70" t="s">
        <v>710</v>
      </c>
      <c r="E70">
        <v>1</v>
      </c>
      <c r="F70">
        <f>+SUMIF(Compras[[#All],[Codigo de Producto]],Productos[[#All],[Codigo de Producto]],Compras[[#All],[Cantidad]])</f>
        <v>0</v>
      </c>
      <c r="G70">
        <f>+SUMIF(Ventas[[#All],[Codigo de Producto]],Productos[[#All],[Codigo de Producto]],Ventas[[#All],[Cantidad]])</f>
        <v>0</v>
      </c>
      <c r="H70">
        <f>+Productos[[#This Row],[Existencias Iniciales]]+Productos[[#This Row],[Entradas]]-Productos[[#This Row],[Salidas]]</f>
        <v>1</v>
      </c>
      <c r="I70">
        <v>751</v>
      </c>
      <c r="J70">
        <f>IF(Productos[[#This Row],[Stock]]&lt;0,"",+Productos[[#This Row],[Stock]]*Productos[[#This Row],[Costo Unitario]])</f>
        <v>751</v>
      </c>
      <c r="K70">
        <v>900</v>
      </c>
      <c r="L70">
        <f>IF(Productos[[#This Row],[Stock]]&lt;0,"",+Productos[[#This Row],[Stock]]*Productos[[#This Row],[Precio Unitario]])</f>
        <v>900</v>
      </c>
      <c r="M70">
        <f>IF(Productos[[#This Row],[Stock]]&lt;0,"",+Productos[[#This Row],[Total2]]-Productos[[#This Row],[Total]])</f>
        <v>149</v>
      </c>
    </row>
    <row r="71" spans="1:13" x14ac:dyDescent="0.25">
      <c r="A71" t="s">
        <v>676</v>
      </c>
      <c r="B71" t="s">
        <v>167</v>
      </c>
      <c r="C71" t="s">
        <v>85</v>
      </c>
      <c r="D71" t="s">
        <v>654</v>
      </c>
      <c r="E71">
        <v>1</v>
      </c>
      <c r="F71">
        <f>+SUMIF(Compras[[#All],[Codigo de Producto]],Productos[[#All],[Codigo de Producto]],Compras[[#All],[Cantidad]])</f>
        <v>0</v>
      </c>
      <c r="G71">
        <f>+SUMIF(Ventas[[#All],[Codigo de Producto]],Productos[[#All],[Codigo de Producto]],Ventas[[#All],[Cantidad]])</f>
        <v>0</v>
      </c>
      <c r="H71">
        <f>+Productos[[#This Row],[Existencias Iniciales]]+Productos[[#This Row],[Entradas]]-Productos[[#This Row],[Salidas]]</f>
        <v>1</v>
      </c>
      <c r="I71">
        <v>789</v>
      </c>
      <c r="J71">
        <f>IF(Productos[[#This Row],[Stock]]&lt;0,"",+Productos[[#This Row],[Stock]]*Productos[[#This Row],[Costo Unitario]])</f>
        <v>789</v>
      </c>
      <c r="K71">
        <v>900</v>
      </c>
      <c r="L71">
        <f>IF(Productos[[#This Row],[Stock]]&lt;0,"",+Productos[[#This Row],[Stock]]*Productos[[#This Row],[Precio Unitario]])</f>
        <v>900</v>
      </c>
      <c r="M71">
        <f>IF(Productos[[#This Row],[Stock]]&lt;0,"",+Productos[[#This Row],[Total2]]-Productos[[#This Row],[Total]])</f>
        <v>111</v>
      </c>
    </row>
    <row r="72" spans="1:13" x14ac:dyDescent="0.25">
      <c r="A72" t="s">
        <v>833</v>
      </c>
      <c r="B72" t="s">
        <v>166</v>
      </c>
      <c r="C72" t="s">
        <v>92</v>
      </c>
      <c r="D72" t="s">
        <v>820</v>
      </c>
      <c r="E72">
        <v>2</v>
      </c>
      <c r="F72" s="57">
        <f>+SUMIF(Compras[[#All],[Codigo de Producto]],Productos[[#All],[Codigo de Producto]],Compras[[#All],[Cantidad]])</f>
        <v>0</v>
      </c>
      <c r="G72" s="57">
        <f>+SUMIF(Ventas[[#All],[Codigo de Producto]],Productos[[#All],[Codigo de Producto]],Ventas[[#All],[Cantidad]])</f>
        <v>1</v>
      </c>
      <c r="H72" s="57">
        <f>+Productos[[#This Row],[Existencias Iniciales]]+Productos[[#This Row],[Entradas]]-Productos[[#This Row],[Salidas]]</f>
        <v>1</v>
      </c>
      <c r="I72">
        <v>226</v>
      </c>
      <c r="J72" s="57">
        <f>IF(Productos[[#This Row],[Stock]]&lt;0,"",+Productos[[#This Row],[Stock]]*Productos[[#This Row],[Costo Unitario]])</f>
        <v>226</v>
      </c>
      <c r="K72">
        <v>300</v>
      </c>
      <c r="L72" s="57">
        <f>IF(Productos[[#This Row],[Stock]]&lt;0,"",+Productos[[#This Row],[Stock]]*Productos[[#This Row],[Precio Unitario]])</f>
        <v>300</v>
      </c>
      <c r="M72" s="57">
        <f>IF(Productos[[#This Row],[Stock]]&lt;0,"",+Productos[[#This Row],[Total2]]-Productos[[#This Row],[Total]])</f>
        <v>74</v>
      </c>
    </row>
    <row r="73" spans="1:13" x14ac:dyDescent="0.25">
      <c r="A73" t="s">
        <v>829</v>
      </c>
      <c r="B73" t="s">
        <v>198</v>
      </c>
      <c r="C73" t="s">
        <v>85</v>
      </c>
      <c r="D73" t="s">
        <v>816</v>
      </c>
      <c r="E73">
        <v>5</v>
      </c>
      <c r="F73" s="57">
        <f>+SUMIF(Compras[[#All],[Codigo de Producto]],Productos[[#All],[Codigo de Producto]],Compras[[#All],[Cantidad]])</f>
        <v>0</v>
      </c>
      <c r="G73" s="57">
        <f>+SUMIF(Ventas[[#All],[Codigo de Producto]],Productos[[#All],[Codigo de Producto]],Ventas[[#All],[Cantidad]])</f>
        <v>4</v>
      </c>
      <c r="H73" s="57">
        <f>+Productos[[#This Row],[Existencias Iniciales]]+Productos[[#This Row],[Entradas]]-Productos[[#This Row],[Salidas]]</f>
        <v>1</v>
      </c>
      <c r="I73">
        <f ca="1">+SUMIF(Compras[[#All],[Codigo de Producto]],Productos[[#All],[Codigo de Producto]],Compras[[#Headers],[Precio]])</f>
        <v>0</v>
      </c>
      <c r="J73" s="57">
        <f ca="1">IF(Productos[[#This Row],[Stock]]&lt;0,"",+Productos[[#This Row],[Stock]]*Productos[[#This Row],[Costo Unitario]])</f>
        <v>0</v>
      </c>
      <c r="K73">
        <v>80</v>
      </c>
      <c r="L73" s="57">
        <f>IF(Productos[[#This Row],[Stock]]&lt;0,"",+Productos[[#This Row],[Stock]]*Productos[[#This Row],[Precio Unitario]])</f>
        <v>80</v>
      </c>
      <c r="M73" s="57">
        <f ca="1">IF(Productos[[#This Row],[Stock]]&lt;0,"",+Productos[[#This Row],[Total2]]-Productos[[#This Row],[Total]])</f>
        <v>80</v>
      </c>
    </row>
    <row r="74" spans="1:13" x14ac:dyDescent="0.25">
      <c r="A74" t="s">
        <v>880</v>
      </c>
      <c r="B74" t="s">
        <v>167</v>
      </c>
      <c r="C74" t="s">
        <v>617</v>
      </c>
      <c r="D74" t="s">
        <v>879</v>
      </c>
      <c r="F74" s="57">
        <f>+SUMIF(Compras[[#All],[Codigo de Producto]],Productos[[#All],[Codigo de Producto]],Compras[[#All],[Cantidad]])</f>
        <v>5.32</v>
      </c>
      <c r="G74" s="57">
        <f>+SUMIF(Ventas[[#All],[Codigo de Producto]],Productos[[#All],[Codigo de Producto]],Ventas[[#All],[Cantidad]])</f>
        <v>4.1044444444444448</v>
      </c>
      <c r="H74" s="57">
        <f>+Productos[[#This Row],[Existencias Iniciales]]+Productos[[#This Row],[Entradas]]-Productos[[#This Row],[Salidas]]</f>
        <v>1.2155555555555555</v>
      </c>
      <c r="I74">
        <f ca="1">+SUMIF(Compras[[#All],[Codigo de Producto]],Productos[[#All],[Codigo de Producto]],Compras[[#Headers],[Precio]])</f>
        <v>268</v>
      </c>
      <c r="J74" s="57">
        <f ca="1">IF(Productos[[#This Row],[Stock]]&lt;0,"",+Productos[[#This Row],[Stock]]*Productos[[#This Row],[Costo Unitario]])</f>
        <v>325.76888888888885</v>
      </c>
      <c r="K74">
        <v>300</v>
      </c>
      <c r="L74" s="57">
        <f>IF(Productos[[#This Row],[Stock]]&lt;0,"",+Productos[[#This Row],[Stock]]*Productos[[#This Row],[Precio Unitario]])</f>
        <v>364.66666666666663</v>
      </c>
      <c r="M74" s="57">
        <f ca="1">IF(Productos[[#This Row],[Stock]]&lt;0,"",+Productos[[#This Row],[Total2]]-Productos[[#This Row],[Total]])</f>
        <v>38.897777777777776</v>
      </c>
    </row>
    <row r="75" spans="1:13" x14ac:dyDescent="0.25">
      <c r="A75" t="s">
        <v>663</v>
      </c>
      <c r="B75" t="s">
        <v>167</v>
      </c>
      <c r="C75" t="s">
        <v>617</v>
      </c>
      <c r="D75" t="s">
        <v>414</v>
      </c>
      <c r="E75">
        <f>7*1.33+(4/9)</f>
        <v>9.7544444444444451</v>
      </c>
      <c r="F75">
        <f>+SUMIF(Compras[[#All],[Codigo de Producto]],Productos[[#All],[Codigo de Producto]],Compras[[#All],[Cantidad]])</f>
        <v>5.32</v>
      </c>
      <c r="G75">
        <f>+SUMIF(Ventas[[#All],[Codigo de Producto]],Productos[[#All],[Codigo de Producto]],Ventas[[#All],[Cantidad]])</f>
        <v>13.762222222222222</v>
      </c>
      <c r="H75">
        <f>+Productos[[#This Row],[Existencias Iniciales]]+Productos[[#This Row],[Entradas]]-Productos[[#This Row],[Salidas]]</f>
        <v>1.3122222222222231</v>
      </c>
      <c r="I75">
        <v>268</v>
      </c>
      <c r="J75">
        <f>IF(Productos[[#This Row],[Stock]]&lt;0,"",+Productos[[#This Row],[Stock]]*Productos[[#This Row],[Costo Unitario]])</f>
        <v>351.67555555555577</v>
      </c>
      <c r="K75">
        <v>300</v>
      </c>
      <c r="L75">
        <f>IF(Productos[[#This Row],[Stock]]&lt;0,"",+Productos[[#This Row],[Stock]]*Productos[[#This Row],[Precio Unitario]])</f>
        <v>393.66666666666691</v>
      </c>
      <c r="M75">
        <f>IF(Productos[[#This Row],[Stock]]&lt;0,"",+Productos[[#This Row],[Total2]]-Productos[[#This Row],[Total]])</f>
        <v>41.991111111111138</v>
      </c>
    </row>
    <row r="76" spans="1:13" x14ac:dyDescent="0.25">
      <c r="A76" t="s">
        <v>715</v>
      </c>
      <c r="B76" t="s">
        <v>163</v>
      </c>
      <c r="C76" t="s">
        <v>617</v>
      </c>
      <c r="D76" t="s">
        <v>718</v>
      </c>
      <c r="E76">
        <f>2.32+(6/10*2.32)</f>
        <v>3.7119999999999997</v>
      </c>
      <c r="F76" s="57">
        <f>+SUMIF(Compras[[#All],[Codigo de Producto]],Productos[[#All],[Codigo de Producto]],Compras[[#All],[Cantidad]])</f>
        <v>0</v>
      </c>
      <c r="G76" s="57">
        <f>+SUMIF(Ventas[[#All],[Codigo de Producto]],Productos[[#All],[Codigo de Producto]],Ventas[[#All],[Cantidad]])</f>
        <v>2.3199999999999998</v>
      </c>
      <c r="H76" s="57">
        <f>+Productos[[#This Row],[Existencias Iniciales]]+Productos[[#This Row],[Entradas]]-Productos[[#This Row],[Salidas]]</f>
        <v>1.3919999999999999</v>
      </c>
      <c r="I76">
        <v>220</v>
      </c>
      <c r="J76">
        <f>IF(Productos[[#This Row],[Stock]]&lt;0,"",+Productos[[#This Row],[Stock]]*Productos[[#This Row],[Costo Unitario]])</f>
        <v>306.23999999999995</v>
      </c>
      <c r="K76">
        <v>250</v>
      </c>
      <c r="L76" s="57">
        <f>IF(Productos[[#This Row],[Stock]]&lt;0,"",+Productos[[#This Row],[Stock]]*Productos[[#This Row],[Precio Unitario]])</f>
        <v>348</v>
      </c>
      <c r="M76" s="57">
        <f>IF(Productos[[#This Row],[Stock]]&lt;0,"",+Productos[[#This Row],[Total2]]-Productos[[#This Row],[Total]])</f>
        <v>41.760000000000048</v>
      </c>
    </row>
    <row r="77" spans="1:13" x14ac:dyDescent="0.25">
      <c r="A77" t="s">
        <v>658</v>
      </c>
      <c r="B77" t="s">
        <v>163</v>
      </c>
      <c r="C77" t="s">
        <v>26</v>
      </c>
      <c r="D77" t="s">
        <v>649</v>
      </c>
      <c r="E77">
        <v>1.44</v>
      </c>
      <c r="F77">
        <f>+SUMIF(Compras[[#All],[Codigo de Producto]],Productos[[#All],[Codigo de Producto]],Compras[[#All],[Cantidad]])</f>
        <v>0</v>
      </c>
      <c r="G77">
        <f>+SUMIF(Ventas[[#All],[Codigo de Producto]],Productos[[#All],[Codigo de Producto]],Ventas[[#All],[Cantidad]])</f>
        <v>0</v>
      </c>
      <c r="H77">
        <f>+Productos[[#This Row],[Existencias Iniciales]]+Productos[[#This Row],[Entradas]]-Productos[[#This Row],[Salidas]]</f>
        <v>1.44</v>
      </c>
      <c r="I77">
        <v>350</v>
      </c>
      <c r="J77">
        <f>IF(Productos[[#This Row],[Stock]]&lt;0,"",+Productos[[#This Row],[Stock]]*Productos[[#This Row],[Costo Unitario]])</f>
        <v>504</v>
      </c>
      <c r="K77">
        <v>425</v>
      </c>
      <c r="L77">
        <f>IF(Productos[[#This Row],[Stock]]&lt;0,"",+Productos[[#This Row],[Stock]]*Productos[[#This Row],[Precio Unitario]])</f>
        <v>612</v>
      </c>
      <c r="M77">
        <f>IF(Productos[[#This Row],[Stock]]&lt;0,"",+Productos[[#This Row],[Total2]]-Productos[[#This Row],[Total]])</f>
        <v>108</v>
      </c>
    </row>
    <row r="78" spans="1:13" x14ac:dyDescent="0.25">
      <c r="A78" t="s">
        <v>903</v>
      </c>
      <c r="B78" t="s">
        <v>167</v>
      </c>
      <c r="C78" t="s">
        <v>617</v>
      </c>
      <c r="D78" t="s">
        <v>17</v>
      </c>
      <c r="E78">
        <f>5*1.22</f>
        <v>6.1</v>
      </c>
      <c r="F78">
        <f>+SUMIF(Compras[[#All],[Codigo de Producto]],Productos[[#All],[Codigo de Producto]],Compras[[#All],[Cantidad]])</f>
        <v>0</v>
      </c>
      <c r="G78">
        <f>+SUMIF(Ventas[[#All],[Codigo de Producto]],Productos[[#All],[Codigo de Producto]],Ventas[[#All],[Cantidad]])</f>
        <v>4.612244897959183</v>
      </c>
      <c r="H78">
        <f>+Productos[[#This Row],[Existencias Iniciales]]+Productos[[#This Row],[Entradas]]-Productos[[#This Row],[Salidas]]</f>
        <v>1.4877551020408166</v>
      </c>
      <c r="I78">
        <v>306</v>
      </c>
      <c r="J78">
        <f>IF(Productos[[#This Row],[Stock]]&lt;0,"",+Productos[[#This Row],[Stock]]*Productos[[#This Row],[Costo Unitario]])</f>
        <v>455.2530612244899</v>
      </c>
      <c r="K78">
        <v>360</v>
      </c>
      <c r="L78">
        <f>IF(Productos[[#This Row],[Stock]]&lt;0,"",+Productos[[#This Row],[Stock]]*Productos[[#This Row],[Precio Unitario]])</f>
        <v>535.59183673469397</v>
      </c>
      <c r="M78">
        <f>IF(Productos[[#This Row],[Stock]]&lt;0,"",+Productos[[#This Row],[Total2]]-Productos[[#This Row],[Total]])</f>
        <v>80.338775510204073</v>
      </c>
    </row>
    <row r="79" spans="1:13" x14ac:dyDescent="0.25">
      <c r="A79" t="s">
        <v>742</v>
      </c>
      <c r="B79" t="s">
        <v>167</v>
      </c>
      <c r="C79" t="s">
        <v>55</v>
      </c>
      <c r="D79" t="s">
        <v>746</v>
      </c>
      <c r="F79" s="57">
        <f>+SUMIF(Compras[[#All],[Codigo de Producto]],Productos[[#All],[Codigo de Producto]],Compras[[#All],[Cantidad]])</f>
        <v>17</v>
      </c>
      <c r="G79" s="57">
        <f>+SUMIF(Ventas[[#All],[Codigo de Producto]],Productos[[#All],[Codigo de Producto]],Ventas[[#All],[Cantidad]])</f>
        <v>15.375</v>
      </c>
      <c r="H79" s="57">
        <f>+Productos[[#This Row],[Existencias Iniciales]]+Productos[[#This Row],[Entradas]]-Productos[[#This Row],[Salidas]]</f>
        <v>1.625</v>
      </c>
      <c r="I79">
        <v>256</v>
      </c>
      <c r="J79">
        <f>IF(Productos[[#This Row],[Stock]]&lt;0,"",+Productos[[#This Row],[Stock]]*Productos[[#This Row],[Costo Unitario]])</f>
        <v>416</v>
      </c>
      <c r="K79">
        <v>290</v>
      </c>
      <c r="L79" s="57">
        <f>IF(Productos[[#This Row],[Stock]]&lt;0,"",+Productos[[#This Row],[Stock]]*Productos[[#This Row],[Precio Unitario]])</f>
        <v>471.25</v>
      </c>
      <c r="M79" s="57">
        <f>IF(Productos[[#This Row],[Stock]]&lt;0,"",+Productos[[#This Row],[Total2]]-Productos[[#This Row],[Total]])</f>
        <v>55.25</v>
      </c>
    </row>
    <row r="80" spans="1:13" x14ac:dyDescent="0.25">
      <c r="A80" t="s">
        <v>647</v>
      </c>
      <c r="B80" t="s">
        <v>167</v>
      </c>
      <c r="C80" t="s">
        <v>617</v>
      </c>
      <c r="D80" t="s">
        <v>616</v>
      </c>
      <c r="E80">
        <v>2</v>
      </c>
      <c r="F80">
        <f>+SUMIF(Compras[[#All],[Codigo de Producto]],Productos[[#All],[Codigo de Producto]],Compras[[#All],[Cantidad]])</f>
        <v>0</v>
      </c>
      <c r="G80">
        <f>+SUMIF(Ventas[[#All],[Codigo de Producto]],Productos[[#All],[Codigo de Producto]],Ventas[[#All],[Cantidad]])</f>
        <v>0</v>
      </c>
      <c r="H80">
        <f>+Productos[[#This Row],[Existencias Iniciales]]+Productos[[#This Row],[Entradas]]-Productos[[#This Row],[Salidas]]</f>
        <v>2</v>
      </c>
      <c r="I80">
        <v>219</v>
      </c>
      <c r="J80">
        <f>IF(Productos[[#This Row],[Stock]]&lt;0,"",+Productos[[#This Row],[Stock]]*Productos[[#This Row],[Costo Unitario]])</f>
        <v>438</v>
      </c>
      <c r="K80">
        <v>250</v>
      </c>
      <c r="L80">
        <f>IF(Productos[[#This Row],[Stock]]&lt;0,"",+Productos[[#This Row],[Stock]]*Productos[[#This Row],[Precio Unitario]])</f>
        <v>500</v>
      </c>
      <c r="M80">
        <f>IF(Productos[[#This Row],[Stock]]&lt;0,"",+Productos[[#This Row],[Total2]]-Productos[[#This Row],[Total]])</f>
        <v>62</v>
      </c>
    </row>
    <row r="81" spans="1:13" x14ac:dyDescent="0.25">
      <c r="A81" t="s">
        <v>734</v>
      </c>
      <c r="B81" t="s">
        <v>163</v>
      </c>
      <c r="C81" t="s">
        <v>75</v>
      </c>
      <c r="D81" t="s">
        <v>544</v>
      </c>
      <c r="E81">
        <v>28</v>
      </c>
      <c r="F81" s="57">
        <f>+SUMIF(Compras[[#All],[Codigo de Producto]],Productos[[#All],[Codigo de Producto]],Compras[[#All],[Cantidad]])</f>
        <v>0</v>
      </c>
      <c r="G81" s="57">
        <f>+SUMIF(Ventas[[#All],[Codigo de Producto]],Productos[[#All],[Codigo de Producto]],Ventas[[#All],[Cantidad]])</f>
        <v>26</v>
      </c>
      <c r="H81" s="57">
        <f>+Productos[[#This Row],[Existencias Iniciales]]+Productos[[#This Row],[Entradas]]-Productos[[#This Row],[Salidas]]</f>
        <v>2</v>
      </c>
      <c r="I81">
        <v>32</v>
      </c>
      <c r="J81">
        <f>IF(Productos[[#This Row],[Stock]]&lt;0,"",+Productos[[#This Row],[Stock]]*Productos[[#This Row],[Costo Unitario]])</f>
        <v>64</v>
      </c>
      <c r="K81">
        <v>45</v>
      </c>
      <c r="L81" s="57">
        <f>IF(Productos[[#This Row],[Stock]]&lt;0,"",+Productos[[#This Row],[Stock]]*Productos[[#This Row],[Precio Unitario]])</f>
        <v>90</v>
      </c>
      <c r="M81" s="57">
        <f>IF(Productos[[#This Row],[Stock]]&lt;0,"",+Productos[[#This Row],[Total2]]-Productos[[#This Row],[Total]])</f>
        <v>26</v>
      </c>
    </row>
    <row r="82" spans="1:13" x14ac:dyDescent="0.25">
      <c r="A82" t="s">
        <v>774</v>
      </c>
      <c r="B82" t="s">
        <v>395</v>
      </c>
      <c r="C82" t="s">
        <v>68</v>
      </c>
      <c r="D82" t="s">
        <v>765</v>
      </c>
      <c r="E82">
        <v>2</v>
      </c>
      <c r="F82" s="57">
        <f>+SUMIF(Compras[[#All],[Codigo de Producto]],Productos[[#All],[Codigo de Producto]],Compras[[#All],[Cantidad]])</f>
        <v>0</v>
      </c>
      <c r="G82" s="57">
        <f>+SUMIF(Ventas[[#All],[Codigo de Producto]],Productos[[#All],[Codigo de Producto]],Ventas[[#All],[Cantidad]])</f>
        <v>0</v>
      </c>
      <c r="H82" s="57">
        <f>+Productos[[#This Row],[Existencias Iniciales]]+Productos[[#This Row],[Entradas]]-Productos[[#This Row],[Salidas]]</f>
        <v>2</v>
      </c>
      <c r="I82">
        <f ca="1">+SUMIF(Compras[[#All],[Codigo de Producto]],Productos[[#All],[Codigo de Producto]],Compras[[#Headers],[Precio]])</f>
        <v>0</v>
      </c>
      <c r="J82" s="57">
        <f ca="1">IF(Productos[[#This Row],[Stock]]&lt;0,"",+Productos[[#This Row],[Stock]]*Productos[[#This Row],[Costo Unitario]])</f>
        <v>0</v>
      </c>
      <c r="K82">
        <v>190</v>
      </c>
      <c r="L82" s="57">
        <f>IF(Productos[[#This Row],[Stock]]&lt;0,"",+Productos[[#This Row],[Stock]]*Productos[[#This Row],[Precio Unitario]])</f>
        <v>380</v>
      </c>
      <c r="M82" s="57">
        <f ca="1">IF(Productos[[#This Row],[Stock]]&lt;0,"",+Productos[[#This Row],[Total2]]-Productos[[#This Row],[Total]])</f>
        <v>380</v>
      </c>
    </row>
    <row r="83" spans="1:13" x14ac:dyDescent="0.25">
      <c r="A83" t="s">
        <v>830</v>
      </c>
      <c r="B83" t="s">
        <v>198</v>
      </c>
      <c r="C83" t="s">
        <v>85</v>
      </c>
      <c r="D83" t="s">
        <v>817</v>
      </c>
      <c r="E83">
        <v>4</v>
      </c>
      <c r="F83" s="57">
        <f>+SUMIF(Compras[[#All],[Codigo de Producto]],Productos[[#All],[Codigo de Producto]],Compras[[#All],[Cantidad]])</f>
        <v>0</v>
      </c>
      <c r="G83" s="57">
        <f>+SUMIF(Ventas[[#All],[Codigo de Producto]],Productos[[#All],[Codigo de Producto]],Ventas[[#All],[Cantidad]])</f>
        <v>2</v>
      </c>
      <c r="H83" s="57">
        <f>+Productos[[#This Row],[Existencias Iniciales]]+Productos[[#This Row],[Entradas]]-Productos[[#This Row],[Salidas]]</f>
        <v>2</v>
      </c>
      <c r="I83">
        <f ca="1">+SUMIF(Compras[[#All],[Codigo de Producto]],Productos[[#All],[Codigo de Producto]],Compras[[#Headers],[Precio]])</f>
        <v>0</v>
      </c>
      <c r="J83" s="57">
        <f ca="1">IF(Productos[[#This Row],[Stock]]&lt;0,"",+Productos[[#This Row],[Stock]]*Productos[[#This Row],[Costo Unitario]])</f>
        <v>0</v>
      </c>
      <c r="K83">
        <v>80</v>
      </c>
      <c r="L83" s="57">
        <f>IF(Productos[[#This Row],[Stock]]&lt;0,"",+Productos[[#This Row],[Stock]]*Productos[[#This Row],[Precio Unitario]])</f>
        <v>160</v>
      </c>
      <c r="M83" s="57">
        <f ca="1">IF(Productos[[#This Row],[Stock]]&lt;0,"",+Productos[[#This Row],[Total2]]-Productos[[#This Row],[Total]])</f>
        <v>160</v>
      </c>
    </row>
    <row r="84" spans="1:13" x14ac:dyDescent="0.25">
      <c r="A84" t="s">
        <v>809</v>
      </c>
      <c r="B84" t="s">
        <v>198</v>
      </c>
      <c r="C84" t="s">
        <v>78</v>
      </c>
      <c r="D84" t="s">
        <v>808</v>
      </c>
      <c r="E84">
        <v>4</v>
      </c>
      <c r="F84" s="57">
        <f>+SUMIF(Compras[[#All],[Codigo de Producto]],Productos[[#All],[Codigo de Producto]],Compras[[#All],[Cantidad]])</f>
        <v>0</v>
      </c>
      <c r="G84" s="57">
        <f>+SUMIF(Ventas[[#All],[Codigo de Producto]],Productos[[#All],[Codigo de Producto]],Ventas[[#All],[Cantidad]])</f>
        <v>2</v>
      </c>
      <c r="H84" s="57">
        <f>+Productos[[#This Row],[Existencias Iniciales]]+Productos[[#This Row],[Entradas]]-Productos[[#This Row],[Salidas]]</f>
        <v>2</v>
      </c>
      <c r="I84">
        <f ca="1">+SUMIF(Compras[[#All],[Codigo de Producto]],Productos[[#All],[Codigo de Producto]],Compras[[#Headers],[Precio]])</f>
        <v>0</v>
      </c>
      <c r="J84" s="57">
        <f ca="1">IF(Productos[[#This Row],[Stock]]&lt;0,"",+Productos[[#This Row],[Stock]]*Productos[[#This Row],[Costo Unitario]])</f>
        <v>0</v>
      </c>
      <c r="K84">
        <v>90</v>
      </c>
      <c r="L84" s="57">
        <f>IF(Productos[[#This Row],[Stock]]&lt;0,"",+Productos[[#This Row],[Stock]]*Productos[[#This Row],[Precio Unitario]])</f>
        <v>180</v>
      </c>
      <c r="M84" s="57">
        <f ca="1">IF(Productos[[#This Row],[Stock]]&lt;0,"",+Productos[[#This Row],[Total2]]-Productos[[#This Row],[Total]])</f>
        <v>180</v>
      </c>
    </row>
    <row r="85" spans="1:13" x14ac:dyDescent="0.25">
      <c r="A85" t="s">
        <v>801</v>
      </c>
      <c r="B85" t="s">
        <v>166</v>
      </c>
      <c r="C85" t="s">
        <v>92</v>
      </c>
      <c r="D85" t="s">
        <v>800</v>
      </c>
      <c r="E85">
        <v>2</v>
      </c>
      <c r="F85" s="57">
        <f>+SUMIF(Compras[[#All],[Codigo de Producto]],Productos[[#All],[Codigo de Producto]],Compras[[#All],[Cantidad]])</f>
        <v>0</v>
      </c>
      <c r="G85" s="57">
        <f>+SUMIF(Ventas[[#All],[Codigo de Producto]],Productos[[#All],[Codigo de Producto]],Ventas[[#All],[Cantidad]])</f>
        <v>0</v>
      </c>
      <c r="H85" s="57">
        <f>+Productos[[#This Row],[Existencias Iniciales]]+Productos[[#This Row],[Entradas]]-Productos[[#This Row],[Salidas]]</f>
        <v>2</v>
      </c>
      <c r="I85">
        <f ca="1">+SUMIF(Compras[[#All],[Codigo de Producto]],Productos[[#All],[Codigo de Producto]],Compras[[#Headers],[Precio]])</f>
        <v>0</v>
      </c>
      <c r="J85" s="57">
        <f ca="1">IF(Productos[[#This Row],[Stock]]&lt;0,"",+Productos[[#This Row],[Stock]]*Productos[[#This Row],[Costo Unitario]])</f>
        <v>0</v>
      </c>
      <c r="K85">
        <v>135</v>
      </c>
      <c r="L85" s="57">
        <f>IF(Productos[[#This Row],[Stock]]&lt;0,"",+Productos[[#This Row],[Stock]]*Productos[[#This Row],[Precio Unitario]])</f>
        <v>270</v>
      </c>
      <c r="M85" s="57">
        <f ca="1">IF(Productos[[#This Row],[Stock]]&lt;0,"",+Productos[[#This Row],[Total2]]-Productos[[#This Row],[Total]])</f>
        <v>270</v>
      </c>
    </row>
    <row r="86" spans="1:13" x14ac:dyDescent="0.25">
      <c r="A86" t="s">
        <v>864</v>
      </c>
      <c r="B86" t="s">
        <v>198</v>
      </c>
      <c r="C86" t="s">
        <v>92</v>
      </c>
      <c r="D86" t="s">
        <v>863</v>
      </c>
      <c r="E86">
        <v>2</v>
      </c>
      <c r="F86" s="57">
        <f>+SUMIF(Compras[[#All],[Codigo de Producto]],Productos[[#All],[Codigo de Producto]],Compras[[#All],[Cantidad]])</f>
        <v>0</v>
      </c>
      <c r="G86" s="57">
        <f>+SUMIF(Ventas[[#All],[Codigo de Producto]],Productos[[#All],[Codigo de Producto]],Ventas[[#All],[Cantidad]])</f>
        <v>0</v>
      </c>
      <c r="H86" s="57">
        <f>+Productos[[#This Row],[Existencias Iniciales]]+Productos[[#This Row],[Entradas]]-Productos[[#This Row],[Salidas]]</f>
        <v>2</v>
      </c>
      <c r="I86">
        <v>350</v>
      </c>
      <c r="J86" s="57">
        <f>IF(Productos[[#This Row],[Stock]]&lt;0,"",+Productos[[#This Row],[Stock]]*Productos[[#This Row],[Costo Unitario]])</f>
        <v>700</v>
      </c>
      <c r="K86">
        <v>500</v>
      </c>
      <c r="L86" s="57">
        <f>IF(Productos[[#This Row],[Stock]]&lt;0,"",+Productos[[#This Row],[Stock]]*Productos[[#This Row],[Precio Unitario]])</f>
        <v>1000</v>
      </c>
      <c r="M86" s="57">
        <f>IF(Productos[[#This Row],[Stock]]&lt;0,"",+Productos[[#This Row],[Total2]]-Productos[[#This Row],[Total]])</f>
        <v>300</v>
      </c>
    </row>
    <row r="87" spans="1:13" x14ac:dyDescent="0.25">
      <c r="A87" t="s">
        <v>805</v>
      </c>
      <c r="B87" t="s">
        <v>198</v>
      </c>
      <c r="C87" t="s">
        <v>78</v>
      </c>
      <c r="D87" t="s">
        <v>804</v>
      </c>
      <c r="E87">
        <v>2</v>
      </c>
      <c r="F87" s="57">
        <f>+SUMIF(Compras[[#All],[Codigo de Producto]],Productos[[#All],[Codigo de Producto]],Compras[[#All],[Cantidad]])</f>
        <v>0</v>
      </c>
      <c r="G87" s="57">
        <f>+SUMIF(Ventas[[#All],[Codigo de Producto]],Productos[[#All],[Codigo de Producto]],Ventas[[#All],[Cantidad]])</f>
        <v>0</v>
      </c>
      <c r="H87" s="57">
        <f>+Productos[[#This Row],[Existencias Iniciales]]+Productos[[#This Row],[Entradas]]-Productos[[#This Row],[Salidas]]</f>
        <v>2</v>
      </c>
      <c r="I87">
        <f ca="1">+SUMIF(Compras[[#All],[Codigo de Producto]],Productos[[#All],[Codigo de Producto]],Compras[[#Headers],[Precio]])</f>
        <v>0</v>
      </c>
      <c r="J87" s="57">
        <f ca="1">IF(Productos[[#This Row],[Stock]]&lt;0,"",+Productos[[#This Row],[Stock]]*Productos[[#This Row],[Costo Unitario]])</f>
        <v>0</v>
      </c>
      <c r="K87">
        <v>65</v>
      </c>
      <c r="L87" s="57">
        <f>IF(Productos[[#This Row],[Stock]]&lt;0,"",+Productos[[#This Row],[Stock]]*Productos[[#This Row],[Precio Unitario]])</f>
        <v>130</v>
      </c>
      <c r="M87" s="57">
        <f ca="1">IF(Productos[[#This Row],[Stock]]&lt;0,"",+Productos[[#This Row],[Total2]]-Productos[[#This Row],[Total]])</f>
        <v>130</v>
      </c>
    </row>
    <row r="88" spans="1:13" x14ac:dyDescent="0.25">
      <c r="A88" t="s">
        <v>707</v>
      </c>
      <c r="B88" t="s">
        <v>163</v>
      </c>
      <c r="C88" t="s">
        <v>25</v>
      </c>
      <c r="D88" t="s">
        <v>445</v>
      </c>
      <c r="E88">
        <v>2</v>
      </c>
      <c r="F88">
        <f>+SUMIF(Compras[[#All],[Codigo de Producto]],Productos[[#All],[Codigo de Producto]],Compras[[#All],[Cantidad]])</f>
        <v>0</v>
      </c>
      <c r="G88">
        <f>+SUMIF(Ventas[[#All],[Codigo de Producto]],Productos[[#All],[Codigo de Producto]],Ventas[[#All],[Cantidad]])</f>
        <v>0</v>
      </c>
      <c r="H88">
        <f>+Productos[[#This Row],[Existencias Iniciales]]+Productos[[#This Row],[Entradas]]-Productos[[#This Row],[Salidas]]</f>
        <v>2</v>
      </c>
      <c r="I88">
        <v>80</v>
      </c>
      <c r="J88">
        <f>IF(Productos[[#This Row],[Stock]]&lt;0,"",+Productos[[#This Row],[Stock]]*Productos[[#This Row],[Costo Unitario]])</f>
        <v>160</v>
      </c>
      <c r="K88">
        <v>100</v>
      </c>
      <c r="L88">
        <f>IF(Productos[[#This Row],[Stock]]&lt;0,"",+Productos[[#This Row],[Stock]]*Productos[[#This Row],[Precio Unitario]])</f>
        <v>200</v>
      </c>
      <c r="M88">
        <f>IF(Productos[[#This Row],[Stock]]&lt;0,"",+Productos[[#This Row],[Total2]]-Productos[[#This Row],[Total]])</f>
        <v>40</v>
      </c>
    </row>
    <row r="89" spans="1:13" x14ac:dyDescent="0.25">
      <c r="A89" t="s">
        <v>794</v>
      </c>
      <c r="B89" t="s">
        <v>163</v>
      </c>
      <c r="C89" t="s">
        <v>55</v>
      </c>
      <c r="D89" t="s">
        <v>788</v>
      </c>
      <c r="E89">
        <v>2</v>
      </c>
      <c r="F89" s="57">
        <f>+SUMIF(Compras[[#All],[Codigo de Producto]],Productos[[#All],[Codigo de Producto]],Compras[[#All],[Cantidad]])</f>
        <v>0</v>
      </c>
      <c r="G89" s="57">
        <f>+SUMIF(Ventas[[#All],[Codigo de Producto]],Productos[[#All],[Codigo de Producto]],Ventas[[#All],[Cantidad]])</f>
        <v>0</v>
      </c>
      <c r="H89" s="57">
        <f>+Productos[[#This Row],[Existencias Iniciales]]+Productos[[#This Row],[Entradas]]-Productos[[#This Row],[Salidas]]</f>
        <v>2</v>
      </c>
      <c r="I89">
        <f ca="1">+SUMIF(Compras[[#All],[Codigo de Producto]],Productos[[#All],[Codigo de Producto]],Compras[[#Headers],[Precio]])</f>
        <v>0</v>
      </c>
      <c r="J89" s="57">
        <f ca="1">IF(Productos[[#This Row],[Stock]]&lt;0,"",+Productos[[#This Row],[Stock]]*Productos[[#This Row],[Costo Unitario]])</f>
        <v>0</v>
      </c>
      <c r="K89">
        <v>900</v>
      </c>
      <c r="L89" s="57">
        <f>IF(Productos[[#This Row],[Stock]]&lt;0,"",+Productos[[#This Row],[Stock]]*Productos[[#This Row],[Precio Unitario]])</f>
        <v>1800</v>
      </c>
      <c r="M89" s="57">
        <f ca="1">IF(Productos[[#This Row],[Stock]]&lt;0,"",+Productos[[#This Row],[Total2]]-Productos[[#This Row],[Total]])</f>
        <v>1800</v>
      </c>
    </row>
    <row r="90" spans="1:13" x14ac:dyDescent="0.25">
      <c r="A90" t="s">
        <v>795</v>
      </c>
      <c r="B90" t="s">
        <v>163</v>
      </c>
      <c r="C90" t="s">
        <v>55</v>
      </c>
      <c r="D90" t="s">
        <v>789</v>
      </c>
      <c r="E90">
        <v>2</v>
      </c>
      <c r="F90" s="57">
        <f>+SUMIF(Compras[[#All],[Codigo de Producto]],Productos[[#All],[Codigo de Producto]],Compras[[#All],[Cantidad]])</f>
        <v>0</v>
      </c>
      <c r="G90" s="57">
        <f>+SUMIF(Ventas[[#All],[Codigo de Producto]],Productos[[#All],[Codigo de Producto]],Ventas[[#All],[Cantidad]])</f>
        <v>0</v>
      </c>
      <c r="H90" s="57">
        <f>+Productos[[#This Row],[Existencias Iniciales]]+Productos[[#This Row],[Entradas]]-Productos[[#This Row],[Salidas]]</f>
        <v>2</v>
      </c>
      <c r="I90">
        <f ca="1">+SUMIF(Compras[[#All],[Codigo de Producto]],Productos[[#All],[Codigo de Producto]],Compras[[#Headers],[Precio]])</f>
        <v>0</v>
      </c>
      <c r="J90" s="57">
        <f ca="1">IF(Productos[[#This Row],[Stock]]&lt;0,"",+Productos[[#This Row],[Stock]]*Productos[[#This Row],[Costo Unitario]])</f>
        <v>0</v>
      </c>
      <c r="K90">
        <v>800</v>
      </c>
      <c r="L90" s="57">
        <f>IF(Productos[[#This Row],[Stock]]&lt;0,"",+Productos[[#This Row],[Stock]]*Productos[[#This Row],[Precio Unitario]])</f>
        <v>1600</v>
      </c>
      <c r="M90" s="57">
        <f ca="1">IF(Productos[[#This Row],[Stock]]&lt;0,"",+Productos[[#This Row],[Total2]]-Productos[[#This Row],[Total]])</f>
        <v>1600</v>
      </c>
    </row>
    <row r="91" spans="1:13" x14ac:dyDescent="0.25">
      <c r="A91" t="s">
        <v>730</v>
      </c>
      <c r="B91" t="s">
        <v>166</v>
      </c>
      <c r="C91" t="s">
        <v>68</v>
      </c>
      <c r="D91" t="s">
        <v>735</v>
      </c>
      <c r="E91">
        <v>6</v>
      </c>
      <c r="F91" s="57">
        <f>+SUMIF(Compras[[#All],[Codigo de Producto]],Productos[[#All],[Codigo de Producto]],Compras[[#All],[Cantidad]])</f>
        <v>0</v>
      </c>
      <c r="G91" s="57">
        <f>+SUMIF(Ventas[[#All],[Codigo de Producto]],Productos[[#All],[Codigo de Producto]],Ventas[[#All],[Cantidad]])</f>
        <v>4</v>
      </c>
      <c r="H91" s="57">
        <f>+Productos[[#This Row],[Existencias Iniciales]]+Productos[[#This Row],[Entradas]]-Productos[[#This Row],[Salidas]]</f>
        <v>2</v>
      </c>
      <c r="I91">
        <v>110</v>
      </c>
      <c r="J91">
        <f>IF(Productos[[#This Row],[Stock]]&lt;0,"",+Productos[[#This Row],[Stock]]*Productos[[#This Row],[Costo Unitario]])</f>
        <v>220</v>
      </c>
      <c r="K91">
        <v>170</v>
      </c>
      <c r="L91" s="57">
        <f>IF(Productos[[#This Row],[Stock]]&lt;0,"",+Productos[[#This Row],[Stock]]*Productos[[#This Row],[Precio Unitario]])</f>
        <v>340</v>
      </c>
      <c r="M91" s="57">
        <f>IF(Productos[[#This Row],[Stock]]&lt;0,"",+Productos[[#This Row],[Total2]]-Productos[[#This Row],[Total]])</f>
        <v>120</v>
      </c>
    </row>
    <row r="92" spans="1:13" x14ac:dyDescent="0.25">
      <c r="A92" t="s">
        <v>884</v>
      </c>
      <c r="B92" t="s">
        <v>167</v>
      </c>
      <c r="C92" t="s">
        <v>85</v>
      </c>
      <c r="D92" t="s">
        <v>882</v>
      </c>
      <c r="F92" s="57">
        <f>+SUMIF(Compras[[#All],[Codigo de Producto]],Productos[[#All],[Codigo de Producto]],Compras[[#All],[Cantidad]])</f>
        <v>2</v>
      </c>
      <c r="G92" s="57">
        <f>+SUMIF(Ventas[[#All],[Codigo de Producto]],Productos[[#All],[Codigo de Producto]],Ventas[[#All],[Cantidad]])</f>
        <v>0</v>
      </c>
      <c r="H92" s="57">
        <f>+Productos[[#This Row],[Existencias Iniciales]]+Productos[[#This Row],[Entradas]]-Productos[[#This Row],[Salidas]]</f>
        <v>2</v>
      </c>
      <c r="I92">
        <f ca="1">+SUMIF(Compras[[#All],[Codigo de Producto]],Productos[[#All],[Codigo de Producto]],Compras[[#Headers],[Precio]])</f>
        <v>430</v>
      </c>
      <c r="J92" s="57">
        <f ca="1">IF(Productos[[#This Row],[Stock]]&lt;0,"",+Productos[[#This Row],[Stock]]*Productos[[#This Row],[Costo Unitario]])</f>
        <v>860</v>
      </c>
      <c r="K92">
        <v>600</v>
      </c>
      <c r="L92" s="57">
        <f>IF(Productos[[#This Row],[Stock]]&lt;0,"",+Productos[[#This Row],[Stock]]*Productos[[#This Row],[Precio Unitario]])</f>
        <v>1200</v>
      </c>
      <c r="M92" s="57">
        <f ca="1">IF(Productos[[#This Row],[Stock]]&lt;0,"",+Productos[[#This Row],[Total2]]-Productos[[#This Row],[Total]])</f>
        <v>340</v>
      </c>
    </row>
    <row r="93" spans="1:13" x14ac:dyDescent="0.25">
      <c r="A93" t="s">
        <v>891</v>
      </c>
      <c r="B93" t="s">
        <v>163</v>
      </c>
      <c r="C93" t="s">
        <v>85</v>
      </c>
      <c r="D93" t="s">
        <v>889</v>
      </c>
      <c r="F93" s="57">
        <f>+SUMIF(Compras[[#All],[Codigo de Producto]],Productos[[#All],[Codigo de Producto]],Compras[[#All],[Cantidad]])</f>
        <v>3</v>
      </c>
      <c r="G93" s="57">
        <f>+SUMIF(Ventas[[#All],[Codigo de Producto]],Productos[[#All],[Codigo de Producto]],Ventas[[#All],[Cantidad]])</f>
        <v>1</v>
      </c>
      <c r="H93" s="57">
        <f>+Productos[[#This Row],[Existencias Iniciales]]+Productos[[#This Row],[Entradas]]-Productos[[#This Row],[Salidas]]</f>
        <v>2</v>
      </c>
      <c r="I93">
        <f ca="1">+SUMIF(Compras[[#All],[Codigo de Producto]],Productos[[#All],[Codigo de Producto]],Compras[[#Headers],[Precio]])</f>
        <v>1275</v>
      </c>
      <c r="J93" s="57">
        <f ca="1">IF(Productos[[#This Row],[Stock]]&lt;0,"",+Productos[[#This Row],[Stock]]*Productos[[#This Row],[Costo Unitario]])</f>
        <v>2550</v>
      </c>
      <c r="K93">
        <v>1950</v>
      </c>
      <c r="L93" s="57">
        <f>IF(Productos[[#This Row],[Stock]]&lt;0,"",+Productos[[#This Row],[Stock]]*Productos[[#This Row],[Precio Unitario]])</f>
        <v>3900</v>
      </c>
      <c r="M93" s="57">
        <f ca="1">IF(Productos[[#This Row],[Stock]]&lt;0,"",+Productos[[#This Row],[Total2]]-Productos[[#This Row],[Total]])</f>
        <v>1350</v>
      </c>
    </row>
    <row r="94" spans="1:13" x14ac:dyDescent="0.25">
      <c r="A94" t="s">
        <v>865</v>
      </c>
      <c r="B94" t="s">
        <v>166</v>
      </c>
      <c r="C94" t="s">
        <v>78</v>
      </c>
      <c r="D94" t="s">
        <v>567</v>
      </c>
      <c r="E94">
        <v>3</v>
      </c>
      <c r="F94" s="57">
        <f>+SUMIF(Compras[[#All],[Codigo de Producto]],Productos[[#All],[Codigo de Producto]],Compras[[#All],[Cantidad]])</f>
        <v>0</v>
      </c>
      <c r="G94" s="57">
        <f>+SUMIF(Ventas[[#All],[Codigo de Producto]],Productos[[#All],[Codigo de Producto]],Ventas[[#All],[Cantidad]])</f>
        <v>1</v>
      </c>
      <c r="H94" s="57">
        <f>+Productos[[#This Row],[Existencias Iniciales]]+Productos[[#This Row],[Entradas]]-Productos[[#This Row],[Salidas]]</f>
        <v>2</v>
      </c>
      <c r="I94">
        <v>451</v>
      </c>
      <c r="J94" s="57">
        <f>IF(Productos[[#This Row],[Stock]]&lt;0,"",+Productos[[#This Row],[Stock]]*Productos[[#This Row],[Costo Unitario]])</f>
        <v>902</v>
      </c>
      <c r="K94">
        <v>650</v>
      </c>
      <c r="L94" s="57">
        <f>IF(Productos[[#This Row],[Stock]]&lt;0,"",+Productos[[#This Row],[Stock]]*Productos[[#This Row],[Precio Unitario]])</f>
        <v>1300</v>
      </c>
      <c r="M94" s="57">
        <f>IF(Productos[[#This Row],[Stock]]&lt;0,"",+Productos[[#This Row],[Total2]]-Productos[[#This Row],[Total]])</f>
        <v>398</v>
      </c>
    </row>
    <row r="95" spans="1:13" x14ac:dyDescent="0.25">
      <c r="A95" t="s">
        <v>866</v>
      </c>
      <c r="B95" t="s">
        <v>166</v>
      </c>
      <c r="C95" t="s">
        <v>78</v>
      </c>
      <c r="D95" t="s">
        <v>568</v>
      </c>
      <c r="E95">
        <v>2</v>
      </c>
      <c r="F95" s="57">
        <f>+SUMIF(Compras[[#All],[Codigo de Producto]],Productos[[#All],[Codigo de Producto]],Compras[[#All],[Cantidad]])</f>
        <v>0</v>
      </c>
      <c r="G95" s="57">
        <f>+SUMIF(Ventas[[#All],[Codigo de Producto]],Productos[[#All],[Codigo de Producto]],Ventas[[#All],[Cantidad]])</f>
        <v>0</v>
      </c>
      <c r="H95" s="57">
        <f>+Productos[[#This Row],[Existencias Iniciales]]+Productos[[#This Row],[Entradas]]-Productos[[#This Row],[Salidas]]</f>
        <v>2</v>
      </c>
      <c r="I95">
        <v>477</v>
      </c>
      <c r="J95" s="57">
        <f>IF(Productos[[#This Row],[Stock]]&lt;0,"",+Productos[[#This Row],[Stock]]*Productos[[#This Row],[Costo Unitario]])</f>
        <v>954</v>
      </c>
      <c r="K95">
        <v>600</v>
      </c>
      <c r="L95" s="57">
        <f>IF(Productos[[#This Row],[Stock]]&lt;0,"",+Productos[[#This Row],[Stock]]*Productos[[#This Row],[Precio Unitario]])</f>
        <v>1200</v>
      </c>
      <c r="M95" s="57">
        <f>IF(Productos[[#This Row],[Stock]]&lt;0,"",+Productos[[#This Row],[Total2]]-Productos[[#This Row],[Total]])</f>
        <v>246</v>
      </c>
    </row>
    <row r="96" spans="1:13" x14ac:dyDescent="0.25">
      <c r="A96" t="s">
        <v>824</v>
      </c>
      <c r="B96" t="s">
        <v>166</v>
      </c>
      <c r="C96" t="s">
        <v>85</v>
      </c>
      <c r="D96" t="s">
        <v>811</v>
      </c>
      <c r="E96">
        <v>2</v>
      </c>
      <c r="F96" s="57">
        <f>+SUMIF(Compras[[#All],[Codigo de Producto]],Productos[[#All],[Codigo de Producto]],Compras[[#All],[Cantidad]])</f>
        <v>0</v>
      </c>
      <c r="G96" s="57">
        <f>+SUMIF(Ventas[[#All],[Codigo de Producto]],Productos[[#All],[Codigo de Producto]],Ventas[[#All],[Cantidad]])</f>
        <v>0</v>
      </c>
      <c r="H96" s="57">
        <f>+Productos[[#This Row],[Existencias Iniciales]]+Productos[[#This Row],[Entradas]]-Productos[[#This Row],[Salidas]]</f>
        <v>2</v>
      </c>
      <c r="I96">
        <f ca="1">+SUMIF(Compras[[#All],[Codigo de Producto]],Productos[[#All],[Codigo de Producto]],Compras[[#Headers],[Precio]])</f>
        <v>0</v>
      </c>
      <c r="J96" s="57">
        <f ca="1">IF(Productos[[#This Row],[Stock]]&lt;0,"",+Productos[[#This Row],[Stock]]*Productos[[#This Row],[Costo Unitario]])</f>
        <v>0</v>
      </c>
      <c r="K96">
        <v>500</v>
      </c>
      <c r="L96" s="57">
        <f>IF(Productos[[#This Row],[Stock]]&lt;0,"",+Productos[[#This Row],[Stock]]*Productos[[#This Row],[Precio Unitario]])</f>
        <v>1000</v>
      </c>
      <c r="M96" s="57">
        <f ca="1">IF(Productos[[#This Row],[Stock]]&lt;0,"",+Productos[[#This Row],[Total2]]-Productos[[#This Row],[Total]])</f>
        <v>1000</v>
      </c>
    </row>
    <row r="97" spans="1:13" x14ac:dyDescent="0.25">
      <c r="A97" t="s">
        <v>843</v>
      </c>
      <c r="B97" t="s">
        <v>198</v>
      </c>
      <c r="C97" t="s">
        <v>78</v>
      </c>
      <c r="D97" t="s">
        <v>842</v>
      </c>
      <c r="F97" s="57">
        <f>+SUMIF(Compras[[#All],[Codigo de Producto]],Productos[[#All],[Codigo de Producto]],Compras[[#All],[Cantidad]])</f>
        <v>2</v>
      </c>
      <c r="G97" s="57">
        <f>+SUMIF(Ventas[[#All],[Codigo de Producto]],Productos[[#All],[Codigo de Producto]],Ventas[[#All],[Cantidad]])</f>
        <v>0</v>
      </c>
      <c r="H97" s="57">
        <f>+Productos[[#This Row],[Existencias Iniciales]]+Productos[[#This Row],[Entradas]]-Productos[[#This Row],[Salidas]]</f>
        <v>2</v>
      </c>
      <c r="I97">
        <f ca="1">+SUMIF(Compras[[#All],[Codigo de Producto]],Productos[[#All],[Codigo de Producto]],Compras[[#Headers],[Precio]])</f>
        <v>775</v>
      </c>
      <c r="J97" s="57">
        <f ca="1">IF(Productos[[#This Row],[Stock]]&lt;0,"",+Productos[[#This Row],[Stock]]*Productos[[#This Row],[Costo Unitario]])</f>
        <v>1550</v>
      </c>
      <c r="K97">
        <v>1000</v>
      </c>
      <c r="L97" s="57">
        <f>IF(Productos[[#This Row],[Stock]]&lt;0,"",+Productos[[#This Row],[Stock]]*Productos[[#This Row],[Precio Unitario]])</f>
        <v>2000</v>
      </c>
      <c r="M97" s="57">
        <f ca="1">IF(Productos[[#This Row],[Stock]]&lt;0,"",+Productos[[#This Row],[Total2]]-Productos[[#This Row],[Total]])</f>
        <v>450</v>
      </c>
    </row>
    <row r="98" spans="1:13" x14ac:dyDescent="0.25">
      <c r="A98" t="s">
        <v>785</v>
      </c>
      <c r="B98" t="s">
        <v>198</v>
      </c>
      <c r="C98" t="s">
        <v>68</v>
      </c>
      <c r="D98" t="s">
        <v>779</v>
      </c>
      <c r="E98">
        <v>2</v>
      </c>
      <c r="F98" s="57">
        <f>+SUMIF(Compras[[#All],[Codigo de Producto]],Productos[[#All],[Codigo de Producto]],Compras[[#All],[Cantidad]])</f>
        <v>0</v>
      </c>
      <c r="G98" s="57">
        <f>+SUMIF(Ventas[[#All],[Codigo de Producto]],Productos[[#All],[Codigo de Producto]],Ventas[[#All],[Cantidad]])</f>
        <v>0</v>
      </c>
      <c r="H98" s="57">
        <f>+Productos[[#This Row],[Existencias Iniciales]]+Productos[[#This Row],[Entradas]]-Productos[[#This Row],[Salidas]]</f>
        <v>2</v>
      </c>
      <c r="I98">
        <f ca="1">+SUMIF(Compras[[#All],[Codigo de Producto]],Productos[[#All],[Codigo de Producto]],Compras[[#Headers],[Precio]])</f>
        <v>0</v>
      </c>
      <c r="J98" s="57">
        <f ca="1">IF(Productos[[#This Row],[Stock]]&lt;0,"",+Productos[[#This Row],[Stock]]*Productos[[#This Row],[Costo Unitario]])</f>
        <v>0</v>
      </c>
      <c r="K98">
        <v>170</v>
      </c>
      <c r="L98" s="57">
        <f>IF(Productos[[#This Row],[Stock]]&lt;0,"",+Productos[[#This Row],[Stock]]*Productos[[#This Row],[Precio Unitario]])</f>
        <v>340</v>
      </c>
      <c r="M98" s="57">
        <f ca="1">IF(Productos[[#This Row],[Stock]]&lt;0,"",+Productos[[#This Row],[Total2]]-Productos[[#This Row],[Total]])</f>
        <v>340</v>
      </c>
    </row>
    <row r="99" spans="1:13" x14ac:dyDescent="0.25">
      <c r="A99" t="s">
        <v>782</v>
      </c>
      <c r="B99" t="s">
        <v>198</v>
      </c>
      <c r="C99" t="s">
        <v>68</v>
      </c>
      <c r="D99" t="s">
        <v>776</v>
      </c>
      <c r="E99">
        <v>2</v>
      </c>
      <c r="F99" s="57">
        <f>+SUMIF(Compras[[#All],[Codigo de Producto]],Productos[[#All],[Codigo de Producto]],Compras[[#All],[Cantidad]])</f>
        <v>0</v>
      </c>
      <c r="G99" s="57">
        <f>+SUMIF(Ventas[[#All],[Codigo de Producto]],Productos[[#All],[Codigo de Producto]],Ventas[[#All],[Cantidad]])</f>
        <v>0</v>
      </c>
      <c r="H99" s="57">
        <f>+Productos[[#This Row],[Existencias Iniciales]]+Productos[[#This Row],[Entradas]]-Productos[[#This Row],[Salidas]]</f>
        <v>2</v>
      </c>
      <c r="I99">
        <f ca="1">+SUMIF(Compras[[#All],[Codigo de Producto]],Productos[[#All],[Codigo de Producto]],Compras[[#Headers],[Precio]])</f>
        <v>0</v>
      </c>
      <c r="J99" s="57">
        <f ca="1">IF(Productos[[#This Row],[Stock]]&lt;0,"",+Productos[[#This Row],[Stock]]*Productos[[#This Row],[Costo Unitario]])</f>
        <v>0</v>
      </c>
      <c r="K99">
        <v>225</v>
      </c>
      <c r="L99" s="57">
        <f>IF(Productos[[#This Row],[Stock]]&lt;0,"",+Productos[[#This Row],[Stock]]*Productos[[#This Row],[Precio Unitario]])</f>
        <v>450</v>
      </c>
      <c r="M99" s="57">
        <f ca="1">IF(Productos[[#This Row],[Stock]]&lt;0,"",+Productos[[#This Row],[Total2]]-Productos[[#This Row],[Total]])</f>
        <v>450</v>
      </c>
    </row>
    <row r="100" spans="1:13" x14ac:dyDescent="0.25">
      <c r="A100" t="s">
        <v>783</v>
      </c>
      <c r="B100" t="s">
        <v>198</v>
      </c>
      <c r="C100" t="s">
        <v>68</v>
      </c>
      <c r="D100" t="s">
        <v>777</v>
      </c>
      <c r="E100">
        <v>2</v>
      </c>
      <c r="F100" s="57">
        <f>+SUMIF(Compras[[#All],[Codigo de Producto]],Productos[[#All],[Codigo de Producto]],Compras[[#All],[Cantidad]])</f>
        <v>0</v>
      </c>
      <c r="G100" s="57">
        <f>+SUMIF(Ventas[[#All],[Codigo de Producto]],Productos[[#All],[Codigo de Producto]],Ventas[[#All],[Cantidad]])</f>
        <v>0</v>
      </c>
      <c r="H100" s="57">
        <f>+Productos[[#This Row],[Existencias Iniciales]]+Productos[[#This Row],[Entradas]]-Productos[[#This Row],[Salidas]]</f>
        <v>2</v>
      </c>
      <c r="I100">
        <f ca="1">+SUMIF(Compras[[#All],[Codigo de Producto]],Productos[[#All],[Codigo de Producto]],Compras[[#Headers],[Precio]])</f>
        <v>0</v>
      </c>
      <c r="J100" s="57">
        <f ca="1">IF(Productos[[#This Row],[Stock]]&lt;0,"",+Productos[[#This Row],[Stock]]*Productos[[#This Row],[Costo Unitario]])</f>
        <v>0</v>
      </c>
      <c r="K100">
        <v>125</v>
      </c>
      <c r="L100" s="57">
        <f>IF(Productos[[#This Row],[Stock]]&lt;0,"",+Productos[[#This Row],[Stock]]*Productos[[#This Row],[Precio Unitario]])</f>
        <v>250</v>
      </c>
      <c r="M100" s="57">
        <f ca="1">IF(Productos[[#This Row],[Stock]]&lt;0,"",+Productos[[#This Row],[Total2]]-Productos[[#This Row],[Total]])</f>
        <v>250</v>
      </c>
    </row>
    <row r="101" spans="1:13" x14ac:dyDescent="0.25">
      <c r="A101" t="s">
        <v>828</v>
      </c>
      <c r="B101" t="s">
        <v>237</v>
      </c>
      <c r="C101" t="s">
        <v>92</v>
      </c>
      <c r="D101" t="s">
        <v>815</v>
      </c>
      <c r="E101">
        <v>3</v>
      </c>
      <c r="F101" s="57">
        <f>+SUMIF(Compras[[#All],[Codigo de Producto]],Productos[[#All],[Codigo de Producto]],Compras[[#All],[Cantidad]])</f>
        <v>0</v>
      </c>
      <c r="G101" s="57">
        <f>+SUMIF(Ventas[[#All],[Codigo de Producto]],Productos[[#All],[Codigo de Producto]],Ventas[[#All],[Cantidad]])</f>
        <v>1</v>
      </c>
      <c r="H101" s="57">
        <f>+Productos[[#This Row],[Existencias Iniciales]]+Productos[[#This Row],[Entradas]]-Productos[[#This Row],[Salidas]]</f>
        <v>2</v>
      </c>
      <c r="I101">
        <f ca="1">+SUMIF(Compras[[#All],[Codigo de Producto]],Productos[[#All],[Codigo de Producto]],Compras[[#Headers],[Precio]])</f>
        <v>0</v>
      </c>
      <c r="J101" s="57">
        <f ca="1">IF(Productos[[#This Row],[Stock]]&lt;0,"",+Productos[[#This Row],[Stock]]*Productos[[#This Row],[Costo Unitario]])</f>
        <v>0</v>
      </c>
      <c r="K101">
        <v>140</v>
      </c>
      <c r="L101" s="57">
        <f>IF(Productos[[#This Row],[Stock]]&lt;0,"",+Productos[[#This Row],[Stock]]*Productos[[#This Row],[Precio Unitario]])</f>
        <v>280</v>
      </c>
      <c r="M101" s="57">
        <f ca="1">IF(Productos[[#This Row],[Stock]]&lt;0,"",+Productos[[#This Row],[Total2]]-Productos[[#This Row],[Total]])</f>
        <v>280</v>
      </c>
    </row>
    <row r="102" spans="1:13" x14ac:dyDescent="0.25">
      <c r="A102" t="s">
        <v>912</v>
      </c>
      <c r="B102" t="s">
        <v>198</v>
      </c>
      <c r="C102" t="s">
        <v>85</v>
      </c>
      <c r="D102" t="s">
        <v>911</v>
      </c>
      <c r="E102">
        <v>3</v>
      </c>
      <c r="F102" s="57">
        <f>+SUMIF(Compras[[#All],[Codigo de Producto]],Productos[[#All],[Codigo de Producto]],Compras[[#All],[Cantidad]])</f>
        <v>0</v>
      </c>
      <c r="G102" s="57">
        <f>+SUMIF(Ventas[[#All],[Codigo de Producto]],Productos[[#All],[Codigo de Producto]],Ventas[[#All],[Cantidad]])</f>
        <v>1</v>
      </c>
      <c r="H102" s="57">
        <f>+Productos[[#This Row],[Existencias Iniciales]]+Productos[[#This Row],[Entradas]]-Productos[[#This Row],[Salidas]]</f>
        <v>2</v>
      </c>
      <c r="J102" s="57">
        <f>IF(Productos[[#This Row],[Stock]]&lt;0,"",+Productos[[#This Row],[Stock]]*Productos[[#This Row],[Costo Unitario]])</f>
        <v>0</v>
      </c>
      <c r="K102">
        <v>270</v>
      </c>
      <c r="L102" s="57">
        <f>IF(Productos[[#This Row],[Stock]]&lt;0,"",+Productos[[#This Row],[Stock]]*Productos[[#This Row],[Precio Unitario]])</f>
        <v>540</v>
      </c>
      <c r="M102" s="57">
        <f>IF(Productos[[#This Row],[Stock]]&lt;0,"",+Productos[[#This Row],[Total2]]-Productos[[#This Row],[Total]])</f>
        <v>540</v>
      </c>
    </row>
    <row r="103" spans="1:13" x14ac:dyDescent="0.25">
      <c r="A103" t="s">
        <v>660</v>
      </c>
      <c r="B103" t="s">
        <v>167</v>
      </c>
      <c r="C103" t="s">
        <v>617</v>
      </c>
      <c r="D103" t="s">
        <v>21</v>
      </c>
      <c r="E103">
        <f>2*1.33+(6/9)</f>
        <v>3.3266666666666667</v>
      </c>
      <c r="F103">
        <f>+SUMIF(Compras[[#All],[Codigo de Producto]],Productos[[#All],[Codigo de Producto]],Compras[[#All],[Cantidad]])</f>
        <v>5.32</v>
      </c>
      <c r="G103">
        <f>+SUMIF(Ventas[[#All],[Codigo de Producto]],Productos[[#All],[Codigo de Producto]],Ventas[[#All],[Cantidad]])</f>
        <v>6.4444444444444446</v>
      </c>
      <c r="H103">
        <f>+Productos[[#This Row],[Existencias Iniciales]]+Productos[[#This Row],[Entradas]]-Productos[[#This Row],[Salidas]]</f>
        <v>2.2022222222222219</v>
      </c>
      <c r="I103">
        <v>268</v>
      </c>
      <c r="J103">
        <f>IF(Productos[[#This Row],[Stock]]&lt;0,"",+Productos[[#This Row],[Stock]]*Productos[[#This Row],[Costo Unitario]])</f>
        <v>590.19555555555542</v>
      </c>
      <c r="K103">
        <v>300</v>
      </c>
      <c r="L103">
        <f>IF(Productos[[#This Row],[Stock]]&lt;0,"",+Productos[[#This Row],[Stock]]*Productos[[#This Row],[Precio Unitario]])</f>
        <v>660.66666666666652</v>
      </c>
      <c r="M103">
        <f>IF(Productos[[#This Row],[Stock]]&lt;0,"",+Productos[[#This Row],[Total2]]-Productos[[#This Row],[Total]])</f>
        <v>70.471111111111099</v>
      </c>
    </row>
    <row r="104" spans="1:13" x14ac:dyDescent="0.25">
      <c r="A104" t="s">
        <v>631</v>
      </c>
      <c r="B104" t="s">
        <v>167</v>
      </c>
      <c r="C104" t="s">
        <v>55</v>
      </c>
      <c r="D104" t="s">
        <v>418</v>
      </c>
      <c r="E104">
        <f>1*1.42+(10/12)</f>
        <v>2.2533333333333334</v>
      </c>
      <c r="F104">
        <f>+SUMIF(Compras[[#All],[Codigo de Producto]],Productos[[#All],[Codigo de Producto]],Compras[[#All],[Cantidad]])</f>
        <v>0</v>
      </c>
      <c r="G104">
        <f>+SUMIF(Ventas[[#All],[Codigo de Producto]],Productos[[#All],[Codigo de Producto]],Ventas[[#All],[Cantidad]])</f>
        <v>0</v>
      </c>
      <c r="H104">
        <f>+Productos[[#This Row],[Existencias Iniciales]]+Productos[[#This Row],[Entradas]]-Productos[[#This Row],[Salidas]]</f>
        <v>2.2533333333333334</v>
      </c>
      <c r="I104">
        <v>268</v>
      </c>
      <c r="J104">
        <f>IF(Productos[[#This Row],[Stock]]&lt;0,"",+Productos[[#This Row],[Stock]]*Productos[[#This Row],[Costo Unitario]])</f>
        <v>603.89333333333332</v>
      </c>
      <c r="K104">
        <v>300</v>
      </c>
      <c r="L104">
        <f>IF(Productos[[#This Row],[Stock]]&lt;0,"",+Productos[[#This Row],[Stock]]*Productos[[#This Row],[Precio Unitario]])</f>
        <v>676</v>
      </c>
      <c r="M104">
        <f>IF(Productos[[#This Row],[Stock]]&lt;0,"",+Productos[[#This Row],[Total2]]-Productos[[#This Row],[Total]])</f>
        <v>72.106666666666683</v>
      </c>
    </row>
    <row r="105" spans="1:13" x14ac:dyDescent="0.25">
      <c r="A105" t="s">
        <v>630</v>
      </c>
      <c r="B105" t="s">
        <v>167</v>
      </c>
      <c r="C105" t="s">
        <v>55</v>
      </c>
      <c r="D105" t="s">
        <v>103</v>
      </c>
      <c r="E105">
        <v>5.3330000000000002</v>
      </c>
      <c r="F105">
        <f>+SUMIF(Compras[[#All],[Codigo de Producto]],Productos[[#All],[Codigo de Producto]],Compras[[#All],[Cantidad]])</f>
        <v>0</v>
      </c>
      <c r="G105">
        <f>+SUMIF(Ventas[[#All],[Codigo de Producto]],Productos[[#All],[Codigo de Producto]],Ventas[[#All],[Cantidad]])</f>
        <v>3</v>
      </c>
      <c r="H105">
        <f>+Productos[[#This Row],[Existencias Iniciales]]+Productos[[#This Row],[Entradas]]-Productos[[#This Row],[Salidas]]</f>
        <v>2.3330000000000002</v>
      </c>
      <c r="I105">
        <v>268</v>
      </c>
      <c r="J105">
        <f>IF(Productos[[#This Row],[Stock]]&lt;0,"",+Productos[[#This Row],[Stock]]*Productos[[#This Row],[Costo Unitario]])</f>
        <v>625.24400000000003</v>
      </c>
      <c r="K105">
        <v>300</v>
      </c>
      <c r="L105">
        <f>IF(Productos[[#This Row],[Stock]]&lt;0,"",+Productos[[#This Row],[Stock]]*Productos[[#This Row],[Precio Unitario]])</f>
        <v>699.90000000000009</v>
      </c>
      <c r="M105">
        <f>IF(Productos[[#This Row],[Stock]]&lt;0,"",+Productos[[#This Row],[Total2]]-Productos[[#This Row],[Total]])</f>
        <v>74.656000000000063</v>
      </c>
    </row>
    <row r="106" spans="1:13" x14ac:dyDescent="0.25">
      <c r="A106" t="s">
        <v>636</v>
      </c>
      <c r="B106" t="s">
        <v>167</v>
      </c>
      <c r="C106" t="s">
        <v>55</v>
      </c>
      <c r="D106" t="s">
        <v>39</v>
      </c>
      <c r="E106">
        <f>4*1.41+(11/17)</f>
        <v>6.2870588235294118</v>
      </c>
      <c r="F106">
        <f>+SUMIF(Compras[[#All],[Codigo de Producto]],Productos[[#All],[Codigo de Producto]],Compras[[#All],[Cantidad]])</f>
        <v>0</v>
      </c>
      <c r="G106">
        <f>+SUMIF(Ventas[[#All],[Codigo de Producto]],Productos[[#All],[Codigo de Producto]],Ventas[[#All],[Cantidad]])</f>
        <v>3.92</v>
      </c>
      <c r="H106">
        <f>+Productos[[#This Row],[Existencias Iniciales]]+Productos[[#This Row],[Entradas]]-Productos[[#This Row],[Salidas]]</f>
        <v>2.3670588235294119</v>
      </c>
      <c r="I106">
        <v>268</v>
      </c>
      <c r="J106">
        <f>IF(Productos[[#This Row],[Stock]]&lt;0,"",+Productos[[#This Row],[Stock]]*Productos[[#This Row],[Costo Unitario]])</f>
        <v>634.37176470588236</v>
      </c>
      <c r="K106">
        <v>300</v>
      </c>
      <c r="L106">
        <f>IF(Productos[[#This Row],[Stock]]&lt;0,"",+Productos[[#This Row],[Stock]]*Productos[[#This Row],[Precio Unitario]])</f>
        <v>710.11764705882354</v>
      </c>
      <c r="M106">
        <f>IF(Productos[[#This Row],[Stock]]&lt;0,"",+Productos[[#This Row],[Total2]]-Productos[[#This Row],[Total]])</f>
        <v>75.74588235294118</v>
      </c>
    </row>
    <row r="107" spans="1:13" x14ac:dyDescent="0.25">
      <c r="A107" t="s">
        <v>632</v>
      </c>
      <c r="B107" t="s">
        <v>167</v>
      </c>
      <c r="C107" t="s">
        <v>55</v>
      </c>
      <c r="D107" t="s">
        <v>588</v>
      </c>
      <c r="E107">
        <f>9*1.2+(2/10)</f>
        <v>10.999999999999998</v>
      </c>
      <c r="F107">
        <f>+SUMIF(Compras[[#All],[Codigo de Producto]],Productos[[#All],[Codigo de Producto]],Compras[[#All],[Cantidad]])</f>
        <v>10</v>
      </c>
      <c r="G107">
        <f>+SUMIF(Ventas[[#All],[Codigo de Producto]],Productos[[#All],[Codigo de Producto]],Ventas[[#All],[Cantidad]])</f>
        <v>18.440000000000001</v>
      </c>
      <c r="H107">
        <f>+Productos[[#This Row],[Existencias Iniciales]]+Productos[[#This Row],[Entradas]]-Productos[[#This Row],[Salidas]]</f>
        <v>2.5599999999999987</v>
      </c>
      <c r="I107">
        <v>283</v>
      </c>
      <c r="J107">
        <f>IF(Productos[[#This Row],[Stock]]&lt;0,"",+Productos[[#This Row],[Stock]]*Productos[[#This Row],[Costo Unitario]])</f>
        <v>724.47999999999968</v>
      </c>
      <c r="K107">
        <v>310</v>
      </c>
      <c r="L107">
        <f>IF(Productos[[#This Row],[Stock]]&lt;0,"",+Productos[[#This Row],[Stock]]*Productos[[#This Row],[Precio Unitario]])</f>
        <v>793.59999999999957</v>
      </c>
      <c r="M107">
        <f>IF(Productos[[#This Row],[Stock]]&lt;0,"",+Productos[[#This Row],[Total2]]-Productos[[#This Row],[Total]])</f>
        <v>69.119999999999891</v>
      </c>
    </row>
    <row r="108" spans="1:13" x14ac:dyDescent="0.25">
      <c r="A108" t="s">
        <v>627</v>
      </c>
      <c r="B108" t="s">
        <v>167</v>
      </c>
      <c r="C108" t="s">
        <v>55</v>
      </c>
      <c r="D108" t="s">
        <v>615</v>
      </c>
      <c r="E108">
        <f>10/17</f>
        <v>0.58823529411764708</v>
      </c>
      <c r="F108">
        <f>+SUMIF(Compras[[#All],[Codigo de Producto]],Productos[[#All],[Codigo de Producto]],Compras[[#All],[Cantidad]])</f>
        <v>14.16</v>
      </c>
      <c r="G108">
        <f>+SUMIF(Ventas[[#All],[Codigo de Producto]],Productos[[#All],[Codigo de Producto]],Ventas[[#All],[Cantidad]])</f>
        <v>12</v>
      </c>
      <c r="H108">
        <f>+Productos[[#This Row],[Existencias Iniciales]]+Productos[[#This Row],[Entradas]]-Productos[[#This Row],[Salidas]]</f>
        <v>2.7482352941176469</v>
      </c>
      <c r="I108">
        <v>268</v>
      </c>
      <c r="J108">
        <f>IF(Productos[[#This Row],[Stock]]&lt;0,"",+Productos[[#This Row],[Stock]]*Productos[[#This Row],[Costo Unitario]])</f>
        <v>736.52705882352939</v>
      </c>
      <c r="K108">
        <v>300</v>
      </c>
      <c r="L108">
        <f>IF(Productos[[#This Row],[Stock]]&lt;0,"",+Productos[[#This Row],[Stock]]*Productos[[#This Row],[Precio Unitario]])</f>
        <v>824.47058823529403</v>
      </c>
      <c r="M108">
        <f>IF(Productos[[#This Row],[Stock]]&lt;0,"",+Productos[[#This Row],[Total2]]-Productos[[#This Row],[Total]])</f>
        <v>87.943529411764644</v>
      </c>
    </row>
    <row r="109" spans="1:13" x14ac:dyDescent="0.25">
      <c r="A109" t="s">
        <v>852</v>
      </c>
      <c r="B109" t="s">
        <v>167</v>
      </c>
      <c r="C109" t="s">
        <v>55</v>
      </c>
      <c r="D109" t="s">
        <v>579</v>
      </c>
      <c r="E109">
        <v>9</v>
      </c>
      <c r="F109" s="57">
        <f>+SUMIF(Compras[[#All],[Codigo de Producto]],Productos[[#All],[Codigo de Producto]],Compras[[#All],[Cantidad]])</f>
        <v>0</v>
      </c>
      <c r="G109" s="57">
        <f>+SUMIF(Ventas[[#All],[Codigo de Producto]],Productos[[#All],[Codigo de Producto]],Ventas[[#All],[Cantidad]])</f>
        <v>6.25</v>
      </c>
      <c r="H109" s="57">
        <f>+Productos[[#This Row],[Existencias Iniciales]]+Productos[[#This Row],[Entradas]]-Productos[[#This Row],[Salidas]]</f>
        <v>2.75</v>
      </c>
      <c r="I109">
        <v>268</v>
      </c>
      <c r="J109" s="57">
        <f>IF(Productos[[#This Row],[Stock]]&lt;0,"",+Productos[[#This Row],[Stock]]*Productos[[#This Row],[Costo Unitario]])</f>
        <v>737</v>
      </c>
      <c r="K109">
        <v>300</v>
      </c>
      <c r="L109" s="57">
        <f>IF(Productos[[#This Row],[Stock]]&lt;0,"",+Productos[[#This Row],[Stock]]*Productos[[#This Row],[Precio Unitario]])</f>
        <v>825</v>
      </c>
      <c r="M109" s="57">
        <f>IF(Productos[[#This Row],[Stock]]&lt;0,"",+Productos[[#This Row],[Total2]]-Productos[[#This Row],[Total]])</f>
        <v>88</v>
      </c>
    </row>
    <row r="110" spans="1:13" x14ac:dyDescent="0.25">
      <c r="A110" t="s">
        <v>639</v>
      </c>
      <c r="B110" t="s">
        <v>167</v>
      </c>
      <c r="C110" t="s">
        <v>55</v>
      </c>
      <c r="D110" t="s">
        <v>135</v>
      </c>
      <c r="E110">
        <f>3*1.41+(13/17)</f>
        <v>4.9947058823529407</v>
      </c>
      <c r="F110">
        <f>+SUMIF(Compras[[#All],[Codigo de Producto]],Productos[[#All],[Codigo de Producto]],Compras[[#All],[Cantidad]])</f>
        <v>0</v>
      </c>
      <c r="G110">
        <f>+SUMIF(Ventas[[#All],[Codigo de Producto]],Productos[[#All],[Codigo de Producto]],Ventas[[#All],[Cantidad]])</f>
        <v>2.2352941176470589</v>
      </c>
      <c r="H110">
        <f>+Productos[[#This Row],[Existencias Iniciales]]+Productos[[#This Row],[Entradas]]-Productos[[#This Row],[Salidas]]</f>
        <v>2.7594117647058818</v>
      </c>
      <c r="I110">
        <v>268</v>
      </c>
      <c r="J110">
        <f>IF(Productos[[#This Row],[Stock]]&lt;0,"",+Productos[[#This Row],[Stock]]*Productos[[#This Row],[Costo Unitario]])</f>
        <v>739.52235294117634</v>
      </c>
      <c r="K110">
        <v>300</v>
      </c>
      <c r="L110">
        <f>IF(Productos[[#This Row],[Stock]]&lt;0,"",+Productos[[#This Row],[Stock]]*Productos[[#This Row],[Precio Unitario]])</f>
        <v>827.82352941176453</v>
      </c>
      <c r="M110">
        <f>IF(Productos[[#This Row],[Stock]]&lt;0,"",+Productos[[#This Row],[Total2]]-Productos[[#This Row],[Total]])</f>
        <v>88.301176470588189</v>
      </c>
    </row>
    <row r="111" spans="1:13" x14ac:dyDescent="0.25">
      <c r="A111" t="s">
        <v>702</v>
      </c>
      <c r="B111" t="s">
        <v>163</v>
      </c>
      <c r="C111" t="s">
        <v>617</v>
      </c>
      <c r="D111" t="s">
        <v>686</v>
      </c>
      <c r="E111">
        <f>1*2.32+(3/11*2.32)</f>
        <v>2.9527272727272722</v>
      </c>
      <c r="F111">
        <f>+SUMIF(Compras[[#All],[Codigo de Producto]],Productos[[#All],[Codigo de Producto]],Compras[[#All],[Cantidad]])</f>
        <v>0</v>
      </c>
      <c r="G111">
        <f>+SUMIF(Ventas[[#All],[Codigo de Producto]],Productos[[#All],[Codigo de Producto]],Ventas[[#All],[Cantidad]])</f>
        <v>0</v>
      </c>
      <c r="H111">
        <f>+Productos[[#This Row],[Existencias Iniciales]]+Productos[[#This Row],[Entradas]]-Productos[[#This Row],[Salidas]]</f>
        <v>2.9527272727272722</v>
      </c>
      <c r="I111">
        <v>233</v>
      </c>
      <c r="J111">
        <f>IF(Productos[[#This Row],[Stock]]&lt;0,"",+Productos[[#This Row],[Stock]]*Productos[[#This Row],[Costo Unitario]])</f>
        <v>687.98545454545444</v>
      </c>
      <c r="K111">
        <v>280</v>
      </c>
      <c r="L111">
        <f>IF(Productos[[#This Row],[Stock]]&lt;0,"",+Productos[[#This Row],[Stock]]*Productos[[#This Row],[Precio Unitario]])</f>
        <v>826.76363636363624</v>
      </c>
      <c r="M111">
        <f>IF(Productos[[#This Row],[Stock]]&lt;0,"",+Productos[[#This Row],[Total2]]-Productos[[#This Row],[Total]])</f>
        <v>138.77818181818179</v>
      </c>
    </row>
    <row r="112" spans="1:13" x14ac:dyDescent="0.25">
      <c r="A112" t="s">
        <v>860</v>
      </c>
      <c r="B112" t="s">
        <v>862</v>
      </c>
      <c r="C112" t="s">
        <v>23</v>
      </c>
      <c r="D112" t="s">
        <v>861</v>
      </c>
      <c r="E112">
        <v>10</v>
      </c>
      <c r="F112" s="57">
        <f>+SUMIF(Compras[[#All],[Codigo de Producto]],Productos[[#All],[Codigo de Producto]],Compras[[#All],[Cantidad]])</f>
        <v>0</v>
      </c>
      <c r="G112" s="57">
        <f>+SUMIF(Ventas[[#All],[Codigo de Producto]],Productos[[#All],[Codigo de Producto]],Ventas[[#All],[Cantidad]])</f>
        <v>7</v>
      </c>
      <c r="H112" s="57">
        <f>+Productos[[#This Row],[Existencias Iniciales]]+Productos[[#This Row],[Entradas]]-Productos[[#This Row],[Salidas]]</f>
        <v>3</v>
      </c>
      <c r="I112">
        <v>50.5</v>
      </c>
      <c r="J112" s="57">
        <f>IF(Productos[[#This Row],[Stock]]&lt;0,"",+Productos[[#This Row],[Stock]]*Productos[[#This Row],[Costo Unitario]])</f>
        <v>151.5</v>
      </c>
      <c r="K112">
        <v>60</v>
      </c>
      <c r="L112" s="57">
        <f>IF(Productos[[#This Row],[Stock]]&lt;0,"",+Productos[[#This Row],[Stock]]*Productos[[#This Row],[Precio Unitario]])</f>
        <v>180</v>
      </c>
      <c r="M112" s="57">
        <f>IF(Productos[[#This Row],[Stock]]&lt;0,"",+Productos[[#This Row],[Total2]]-Productos[[#This Row],[Total]])</f>
        <v>28.5</v>
      </c>
    </row>
    <row r="113" spans="1:13" x14ac:dyDescent="0.25">
      <c r="A113" t="s">
        <v>706</v>
      </c>
      <c r="B113" t="s">
        <v>163</v>
      </c>
      <c r="C113" t="s">
        <v>25</v>
      </c>
      <c r="D113" t="s">
        <v>688</v>
      </c>
      <c r="E113">
        <v>3</v>
      </c>
      <c r="F113">
        <f>+SUMIF(Compras[[#All],[Codigo de Producto]],Productos[[#All],[Codigo de Producto]],Compras[[#All],[Cantidad]])</f>
        <v>0</v>
      </c>
      <c r="G113">
        <f>+SUMIF(Ventas[[#All],[Codigo de Producto]],Productos[[#All],[Codigo de Producto]],Ventas[[#All],[Cantidad]])</f>
        <v>0</v>
      </c>
      <c r="H113">
        <f>+Productos[[#This Row],[Existencias Iniciales]]+Productos[[#This Row],[Entradas]]-Productos[[#This Row],[Salidas]]</f>
        <v>3</v>
      </c>
      <c r="I113">
        <v>80</v>
      </c>
      <c r="J113">
        <f>IF(Productos[[#This Row],[Stock]]&lt;0,"",+Productos[[#This Row],[Stock]]*Productos[[#This Row],[Costo Unitario]])</f>
        <v>240</v>
      </c>
      <c r="K113">
        <v>100</v>
      </c>
      <c r="L113">
        <f>IF(Productos[[#This Row],[Stock]]&lt;0,"",+Productos[[#This Row],[Stock]]*Productos[[#This Row],[Precio Unitario]])</f>
        <v>300</v>
      </c>
      <c r="M113">
        <f>IF(Productos[[#This Row],[Stock]]&lt;0,"",+Productos[[#This Row],[Total2]]-Productos[[#This Row],[Total]])</f>
        <v>60</v>
      </c>
    </row>
    <row r="114" spans="1:13" x14ac:dyDescent="0.25">
      <c r="A114" t="s">
        <v>773</v>
      </c>
      <c r="B114" t="s">
        <v>395</v>
      </c>
      <c r="C114" t="s">
        <v>68</v>
      </c>
      <c r="D114" t="s">
        <v>763</v>
      </c>
      <c r="E114">
        <v>3</v>
      </c>
      <c r="F114" s="57">
        <f>+SUMIF(Compras[[#All],[Codigo de Producto]],Productos[[#All],[Codigo de Producto]],Compras[[#All],[Cantidad]])</f>
        <v>0</v>
      </c>
      <c r="G114" s="57">
        <f>+SUMIF(Ventas[[#All],[Codigo de Producto]],Productos[[#All],[Codigo de Producto]],Ventas[[#All],[Cantidad]])</f>
        <v>0</v>
      </c>
      <c r="H114" s="57">
        <f>+Productos[[#This Row],[Existencias Iniciales]]+Productos[[#This Row],[Entradas]]-Productos[[#This Row],[Salidas]]</f>
        <v>3</v>
      </c>
      <c r="I114">
        <f ca="1">+SUMIF(Compras[[#All],[Codigo de Producto]],Productos[[#All],[Codigo de Producto]],Compras[[#Headers],[Precio]])</f>
        <v>0</v>
      </c>
      <c r="J114" s="57">
        <f ca="1">IF(Productos[[#This Row],[Stock]]&lt;0,"",+Productos[[#This Row],[Stock]]*Productos[[#This Row],[Costo Unitario]])</f>
        <v>0</v>
      </c>
      <c r="K114">
        <v>80</v>
      </c>
      <c r="L114" s="57">
        <f>IF(Productos[[#This Row],[Stock]]&lt;0,"",+Productos[[#This Row],[Stock]]*Productos[[#This Row],[Precio Unitario]])</f>
        <v>240</v>
      </c>
      <c r="M114" s="57">
        <f ca="1">IF(Productos[[#This Row],[Stock]]&lt;0,"",+Productos[[#This Row],[Total2]]-Productos[[#This Row],[Total]])</f>
        <v>240</v>
      </c>
    </row>
    <row r="115" spans="1:13" x14ac:dyDescent="0.25">
      <c r="A115" t="s">
        <v>769</v>
      </c>
      <c r="B115" t="s">
        <v>395</v>
      </c>
      <c r="C115" t="s">
        <v>68</v>
      </c>
      <c r="D115" t="s">
        <v>759</v>
      </c>
      <c r="E115">
        <v>3</v>
      </c>
      <c r="F115" s="57">
        <f>+SUMIF(Compras[[#All],[Codigo de Producto]],Productos[[#All],[Codigo de Producto]],Compras[[#All],[Cantidad]])</f>
        <v>0</v>
      </c>
      <c r="G115" s="57">
        <f>+SUMIF(Ventas[[#All],[Codigo de Producto]],Productos[[#All],[Codigo de Producto]],Ventas[[#All],[Cantidad]])</f>
        <v>0</v>
      </c>
      <c r="H115" s="57">
        <f>+Productos[[#This Row],[Existencias Iniciales]]+Productos[[#This Row],[Entradas]]-Productos[[#This Row],[Salidas]]</f>
        <v>3</v>
      </c>
      <c r="I115">
        <f ca="1">+SUMIF(Compras[[#All],[Codigo de Producto]],Productos[[#All],[Codigo de Producto]],Compras[[#Headers],[Precio]])</f>
        <v>0</v>
      </c>
      <c r="J115" s="57">
        <f ca="1">IF(Productos[[#This Row],[Stock]]&lt;0,"",+Productos[[#This Row],[Stock]]*Productos[[#This Row],[Costo Unitario]])</f>
        <v>0</v>
      </c>
      <c r="K115">
        <v>35</v>
      </c>
      <c r="L115" s="57">
        <f>IF(Productos[[#This Row],[Stock]]&lt;0,"",+Productos[[#This Row],[Stock]]*Productos[[#This Row],[Precio Unitario]])</f>
        <v>105</v>
      </c>
      <c r="M115" s="57">
        <f ca="1">IF(Productos[[#This Row],[Stock]]&lt;0,"",+Productos[[#This Row],[Total2]]-Productos[[#This Row],[Total]])</f>
        <v>105</v>
      </c>
    </row>
    <row r="116" spans="1:13" x14ac:dyDescent="0.25">
      <c r="A116" t="s">
        <v>796</v>
      </c>
      <c r="B116" t="s">
        <v>163</v>
      </c>
      <c r="C116" t="s">
        <v>55</v>
      </c>
      <c r="D116" t="s">
        <v>790</v>
      </c>
      <c r="E116">
        <v>3</v>
      </c>
      <c r="F116" s="57">
        <f>+SUMIF(Compras[[#All],[Codigo de Producto]],Productos[[#All],[Codigo de Producto]],Compras[[#All],[Cantidad]])</f>
        <v>0</v>
      </c>
      <c r="G116" s="57">
        <f>+SUMIF(Ventas[[#All],[Codigo de Producto]],Productos[[#All],[Codigo de Producto]],Ventas[[#All],[Cantidad]])</f>
        <v>0</v>
      </c>
      <c r="H116" s="57">
        <f>+Productos[[#This Row],[Existencias Iniciales]]+Productos[[#This Row],[Entradas]]-Productos[[#This Row],[Salidas]]</f>
        <v>3</v>
      </c>
      <c r="I116">
        <f ca="1">+SUMIF(Compras[[#All],[Codigo de Producto]],Productos[[#All],[Codigo de Producto]],Compras[[#Headers],[Precio]])</f>
        <v>0</v>
      </c>
      <c r="J116" s="57">
        <f ca="1">IF(Productos[[#This Row],[Stock]]&lt;0,"",+Productos[[#This Row],[Stock]]*Productos[[#This Row],[Costo Unitario]])</f>
        <v>0</v>
      </c>
      <c r="K116">
        <v>800</v>
      </c>
      <c r="L116" s="57">
        <f>IF(Productos[[#This Row],[Stock]]&lt;0,"",+Productos[[#This Row],[Stock]]*Productos[[#This Row],[Precio Unitario]])</f>
        <v>2400</v>
      </c>
      <c r="M116" s="57">
        <f ca="1">IF(Productos[[#This Row],[Stock]]&lt;0,"",+Productos[[#This Row],[Total2]]-Productos[[#This Row],[Total]])</f>
        <v>2400</v>
      </c>
    </row>
    <row r="117" spans="1:13" x14ac:dyDescent="0.25">
      <c r="A117" t="s">
        <v>832</v>
      </c>
      <c r="B117" t="s">
        <v>198</v>
      </c>
      <c r="C117" t="s">
        <v>70</v>
      </c>
      <c r="D117" t="s">
        <v>819</v>
      </c>
      <c r="E117">
        <v>3</v>
      </c>
      <c r="F117" s="57">
        <f>+SUMIF(Compras[[#All],[Codigo de Producto]],Productos[[#All],[Codigo de Producto]],Compras[[#All],[Cantidad]])</f>
        <v>0</v>
      </c>
      <c r="G117" s="57">
        <f>+SUMIF(Ventas[[#All],[Codigo de Producto]],Productos[[#All],[Codigo de Producto]],Ventas[[#All],[Cantidad]])</f>
        <v>0</v>
      </c>
      <c r="H117" s="57">
        <f>+Productos[[#This Row],[Existencias Iniciales]]+Productos[[#This Row],[Entradas]]-Productos[[#This Row],[Salidas]]</f>
        <v>3</v>
      </c>
      <c r="I117">
        <v>173</v>
      </c>
      <c r="J117" s="57">
        <f>IF(Productos[[#This Row],[Stock]]&lt;0,"",+Productos[[#This Row],[Stock]]*Productos[[#This Row],[Costo Unitario]])</f>
        <v>519</v>
      </c>
      <c r="K117">
        <v>240</v>
      </c>
      <c r="L117" s="57">
        <f>IF(Productos[[#This Row],[Stock]]&lt;0,"",+Productos[[#This Row],[Stock]]*Productos[[#This Row],[Precio Unitario]])</f>
        <v>720</v>
      </c>
      <c r="M117" s="57">
        <f>IF(Productos[[#This Row],[Stock]]&lt;0,"",+Productos[[#This Row],[Total2]]-Productos[[#This Row],[Total]])</f>
        <v>201</v>
      </c>
    </row>
    <row r="118" spans="1:13" x14ac:dyDescent="0.25">
      <c r="A118" t="s">
        <v>823</v>
      </c>
      <c r="B118" t="s">
        <v>166</v>
      </c>
      <c r="C118" t="s">
        <v>85</v>
      </c>
      <c r="D118" t="s">
        <v>810</v>
      </c>
      <c r="E118">
        <v>3</v>
      </c>
      <c r="F118" s="57">
        <f>+SUMIF(Compras[[#All],[Codigo de Producto]],Productos[[#All],[Codigo de Producto]],Compras[[#All],[Cantidad]])</f>
        <v>0</v>
      </c>
      <c r="G118" s="57">
        <f>+SUMIF(Ventas[[#All],[Codigo de Producto]],Productos[[#All],[Codigo de Producto]],Ventas[[#All],[Cantidad]])</f>
        <v>0</v>
      </c>
      <c r="H118" s="57">
        <f>+Productos[[#This Row],[Existencias Iniciales]]+Productos[[#This Row],[Entradas]]-Productos[[#This Row],[Salidas]]</f>
        <v>3</v>
      </c>
      <c r="I118">
        <f ca="1">+SUMIF(Compras[[#All],[Codigo de Producto]],Productos[[#All],[Codigo de Producto]],Compras[[#Headers],[Precio]])</f>
        <v>0</v>
      </c>
      <c r="J118" s="57">
        <f ca="1">IF(Productos[[#This Row],[Stock]]&lt;0,"",+Productos[[#This Row],[Stock]]*Productos[[#This Row],[Costo Unitario]])</f>
        <v>0</v>
      </c>
      <c r="K118">
        <v>280</v>
      </c>
      <c r="L118" s="57">
        <f>IF(Productos[[#This Row],[Stock]]&lt;0,"",+Productos[[#This Row],[Stock]]*Productos[[#This Row],[Precio Unitario]])</f>
        <v>840</v>
      </c>
      <c r="M118" s="57">
        <f ca="1">IF(Productos[[#This Row],[Stock]]&lt;0,"",+Productos[[#This Row],[Total2]]-Productos[[#This Row],[Total]])</f>
        <v>840</v>
      </c>
    </row>
    <row r="119" spans="1:13" x14ac:dyDescent="0.25">
      <c r="A119" t="s">
        <v>701</v>
      </c>
      <c r="B119" t="s">
        <v>167</v>
      </c>
      <c r="C119" t="s">
        <v>55</v>
      </c>
      <c r="D119" t="s">
        <v>436</v>
      </c>
      <c r="E119">
        <f>2*2+(16/16)</f>
        <v>5</v>
      </c>
      <c r="F119">
        <f>+SUMIF(Compras[[#All],[Codigo de Producto]],Productos[[#All],[Codigo de Producto]],Compras[[#All],[Cantidad]])</f>
        <v>0</v>
      </c>
      <c r="G119">
        <f>+SUMIF(Ventas[[#All],[Codigo de Producto]],Productos[[#All],[Codigo de Producto]],Ventas[[#All],[Cantidad]])</f>
        <v>2</v>
      </c>
      <c r="H119">
        <f>+Productos[[#This Row],[Existencias Iniciales]]+Productos[[#This Row],[Entradas]]-Productos[[#This Row],[Salidas]]</f>
        <v>3</v>
      </c>
      <c r="I119">
        <v>207</v>
      </c>
      <c r="J119">
        <f>IF(Productos[[#This Row],[Stock]]&lt;0,"",+Productos[[#This Row],[Stock]]*Productos[[#This Row],[Costo Unitario]])</f>
        <v>621</v>
      </c>
      <c r="K119">
        <v>270</v>
      </c>
      <c r="L119">
        <f>IF(Productos[[#This Row],[Stock]]&lt;0,"",+Productos[[#This Row],[Stock]]*Productos[[#This Row],[Precio Unitario]])</f>
        <v>810</v>
      </c>
      <c r="M119">
        <f>IF(Productos[[#This Row],[Stock]]&lt;0,"",+Productos[[#This Row],[Total2]]-Productos[[#This Row],[Total]])</f>
        <v>189</v>
      </c>
    </row>
    <row r="120" spans="1:13" x14ac:dyDescent="0.25">
      <c r="A120" t="s">
        <v>664</v>
      </c>
      <c r="B120" t="s">
        <v>167</v>
      </c>
      <c r="C120" t="s">
        <v>55</v>
      </c>
      <c r="D120" t="s">
        <v>419</v>
      </c>
      <c r="E120">
        <v>5</v>
      </c>
      <c r="F120">
        <f>+SUMIF(Compras[[#All],[Codigo de Producto]],Productos[[#All],[Codigo de Producto]],Compras[[#All],[Cantidad]])</f>
        <v>0</v>
      </c>
      <c r="G120">
        <f>+SUMIF(Ventas[[#All],[Codigo de Producto]],Productos[[#All],[Codigo de Producto]],Ventas[[#All],[Cantidad]])</f>
        <v>2</v>
      </c>
      <c r="H120">
        <f>+Productos[[#This Row],[Existencias Iniciales]]+Productos[[#This Row],[Entradas]]-Productos[[#This Row],[Salidas]]</f>
        <v>3</v>
      </c>
      <c r="I120">
        <v>268</v>
      </c>
      <c r="J120">
        <f>IF(Productos[[#This Row],[Stock]]&lt;0,"",+Productos[[#This Row],[Stock]]*Productos[[#This Row],[Costo Unitario]])</f>
        <v>804</v>
      </c>
      <c r="K120">
        <v>300</v>
      </c>
      <c r="L120">
        <f>IF(Productos[[#This Row],[Stock]]&lt;0,"",+Productos[[#This Row],[Stock]]*Productos[[#This Row],[Precio Unitario]])</f>
        <v>900</v>
      </c>
      <c r="M120">
        <f>IF(Productos[[#This Row],[Stock]]&lt;0,"",+Productos[[#This Row],[Total2]]-Productos[[#This Row],[Total]])</f>
        <v>96</v>
      </c>
    </row>
    <row r="121" spans="1:13" x14ac:dyDescent="0.25">
      <c r="A121" t="s">
        <v>784</v>
      </c>
      <c r="B121" t="s">
        <v>198</v>
      </c>
      <c r="C121" t="s">
        <v>68</v>
      </c>
      <c r="D121" t="s">
        <v>778</v>
      </c>
      <c r="E121">
        <v>3</v>
      </c>
      <c r="F121" s="57">
        <f>+SUMIF(Compras[[#All],[Codigo de Producto]],Productos[[#All],[Codigo de Producto]],Compras[[#All],[Cantidad]])</f>
        <v>0</v>
      </c>
      <c r="G121" s="57">
        <f>+SUMIF(Ventas[[#All],[Codigo de Producto]],Productos[[#All],[Codigo de Producto]],Ventas[[#All],[Cantidad]])</f>
        <v>0</v>
      </c>
      <c r="H121" s="57">
        <f>+Productos[[#This Row],[Existencias Iniciales]]+Productos[[#This Row],[Entradas]]-Productos[[#This Row],[Salidas]]</f>
        <v>3</v>
      </c>
      <c r="I121">
        <f ca="1">+SUMIF(Compras[[#All],[Codigo de Producto]],Productos[[#All],[Codigo de Producto]],Compras[[#Headers],[Precio]])</f>
        <v>0</v>
      </c>
      <c r="J121" s="57">
        <f ca="1">IF(Productos[[#This Row],[Stock]]&lt;0,"",+Productos[[#This Row],[Stock]]*Productos[[#This Row],[Costo Unitario]])</f>
        <v>0</v>
      </c>
      <c r="K121">
        <v>100</v>
      </c>
      <c r="L121" s="57">
        <f>IF(Productos[[#This Row],[Stock]]&lt;0,"",+Productos[[#This Row],[Stock]]*Productos[[#This Row],[Precio Unitario]])</f>
        <v>300</v>
      </c>
      <c r="M121" s="57">
        <f ca="1">IF(Productos[[#This Row],[Stock]]&lt;0,"",+Productos[[#This Row],[Total2]]-Productos[[#This Row],[Total]])</f>
        <v>300</v>
      </c>
    </row>
    <row r="122" spans="1:13" x14ac:dyDescent="0.25">
      <c r="A122" t="s">
        <v>834</v>
      </c>
      <c r="B122" t="s">
        <v>166</v>
      </c>
      <c r="C122" t="s">
        <v>92</v>
      </c>
      <c r="D122" t="s">
        <v>822</v>
      </c>
      <c r="E122">
        <v>3</v>
      </c>
      <c r="F122" s="57">
        <f>+SUMIF(Compras[[#All],[Codigo de Producto]],Productos[[#All],[Codigo de Producto]],Compras[[#All],[Cantidad]])</f>
        <v>0</v>
      </c>
      <c r="G122" s="57">
        <f>+SUMIF(Ventas[[#All],[Codigo de Producto]],Productos[[#All],[Codigo de Producto]],Ventas[[#All],[Cantidad]])</f>
        <v>0</v>
      </c>
      <c r="H122" s="57">
        <f>+Productos[[#This Row],[Existencias Iniciales]]+Productos[[#This Row],[Entradas]]-Productos[[#This Row],[Salidas]]</f>
        <v>3</v>
      </c>
      <c r="I122">
        <v>149</v>
      </c>
      <c r="J122" s="57">
        <f>IF(Productos[[#This Row],[Stock]]&lt;0,"",+Productos[[#This Row],[Stock]]*Productos[[#This Row],[Costo Unitario]])</f>
        <v>447</v>
      </c>
      <c r="K122">
        <v>200</v>
      </c>
      <c r="L122" s="57">
        <f>IF(Productos[[#This Row],[Stock]]&lt;0,"",+Productos[[#This Row],[Stock]]*Productos[[#This Row],[Precio Unitario]])</f>
        <v>600</v>
      </c>
      <c r="M122" s="57">
        <f>IF(Productos[[#This Row],[Stock]]&lt;0,"",+Productos[[#This Row],[Total2]]-Productos[[#This Row],[Total]])</f>
        <v>153</v>
      </c>
    </row>
    <row r="123" spans="1:13" x14ac:dyDescent="0.25">
      <c r="A123" t="s">
        <v>835</v>
      </c>
      <c r="B123" t="s">
        <v>166</v>
      </c>
      <c r="C123" t="s">
        <v>92</v>
      </c>
      <c r="D123" t="s">
        <v>821</v>
      </c>
      <c r="E123">
        <v>3</v>
      </c>
      <c r="F123" s="57">
        <f>+SUMIF(Compras[[#All],[Codigo de Producto]],Productos[[#All],[Codigo de Producto]],Compras[[#All],[Cantidad]])</f>
        <v>0</v>
      </c>
      <c r="G123" s="57">
        <f>+SUMIF(Ventas[[#All],[Codigo de Producto]],Productos[[#All],[Codigo de Producto]],Ventas[[#All],[Cantidad]])</f>
        <v>0</v>
      </c>
      <c r="H123" s="57">
        <f>+Productos[[#This Row],[Existencias Iniciales]]+Productos[[#This Row],[Entradas]]-Productos[[#This Row],[Salidas]]</f>
        <v>3</v>
      </c>
      <c r="I123">
        <v>142</v>
      </c>
      <c r="J123" s="57">
        <f>IF(Productos[[#This Row],[Stock]]&lt;0,"",+Productos[[#This Row],[Stock]]*Productos[[#This Row],[Costo Unitario]])</f>
        <v>426</v>
      </c>
      <c r="K123">
        <v>200</v>
      </c>
      <c r="L123" s="57">
        <f>IF(Productos[[#This Row],[Stock]]&lt;0,"",+Productos[[#This Row],[Stock]]*Productos[[#This Row],[Precio Unitario]])</f>
        <v>600</v>
      </c>
      <c r="M123" s="57">
        <f>IF(Productos[[#This Row],[Stock]]&lt;0,"",+Productos[[#This Row],[Total2]]-Productos[[#This Row],[Total]])</f>
        <v>174</v>
      </c>
    </row>
    <row r="124" spans="1:13" x14ac:dyDescent="0.25">
      <c r="A124" t="s">
        <v>859</v>
      </c>
      <c r="B124" t="s">
        <v>166</v>
      </c>
      <c r="C124" t="s">
        <v>92</v>
      </c>
      <c r="D124" t="s">
        <v>90</v>
      </c>
      <c r="E124">
        <v>5</v>
      </c>
      <c r="F124" s="57">
        <f>+SUMIF(Compras[[#All],[Codigo de Producto]],Productos[[#All],[Codigo de Producto]],Compras[[#All],[Cantidad]])</f>
        <v>0</v>
      </c>
      <c r="G124" s="57">
        <f>+SUMIF(Ventas[[#All],[Codigo de Producto]],Productos[[#All],[Codigo de Producto]],Ventas[[#All],[Cantidad]])</f>
        <v>2</v>
      </c>
      <c r="H124" s="57">
        <f>+Productos[[#This Row],[Existencias Iniciales]]+Productos[[#This Row],[Entradas]]-Productos[[#This Row],[Salidas]]</f>
        <v>3</v>
      </c>
      <c r="I124">
        <v>74</v>
      </c>
      <c r="J124" s="57">
        <f>IF(Productos[[#This Row],[Stock]]&lt;0,"",+Productos[[#This Row],[Stock]]*Productos[[#This Row],[Costo Unitario]])</f>
        <v>222</v>
      </c>
      <c r="K124">
        <v>100</v>
      </c>
      <c r="L124" s="57">
        <f>IF(Productos[[#This Row],[Stock]]&lt;0,"",+Productos[[#This Row],[Stock]]*Productos[[#This Row],[Precio Unitario]])</f>
        <v>300</v>
      </c>
      <c r="M124" s="57">
        <f>IF(Productos[[#This Row],[Stock]]&lt;0,"",+Productos[[#This Row],[Total2]]-Productos[[#This Row],[Total]])</f>
        <v>78</v>
      </c>
    </row>
    <row r="125" spans="1:13" x14ac:dyDescent="0.25">
      <c r="A125" t="s">
        <v>728</v>
      </c>
      <c r="B125" t="s">
        <v>163</v>
      </c>
      <c r="C125" t="s">
        <v>541</v>
      </c>
      <c r="D125" t="s">
        <v>729</v>
      </c>
      <c r="F125" s="57">
        <f>+SUMIF(Compras[[#All],[Codigo de Producto]],Productos[[#All],[Codigo de Producto]],Compras[[#All],[Cantidad]])</f>
        <v>10</v>
      </c>
      <c r="G125" s="57">
        <f>+SUMIF(Ventas[[#All],[Codigo de Producto]],Productos[[#All],[Codigo de Producto]],Ventas[[#All],[Cantidad]])</f>
        <v>7</v>
      </c>
      <c r="H125" s="57">
        <f>+Productos[[#This Row],[Existencias Iniciales]]+Productos[[#This Row],[Entradas]]-Productos[[#This Row],[Salidas]]</f>
        <v>3</v>
      </c>
      <c r="I125">
        <f ca="1">+SUMIF(Compras[[#All],[Codigo de Producto]],Productos[[#All],[Codigo de Producto]],Compras[[#Headers],[Precio]])</f>
        <v>236</v>
      </c>
      <c r="J125">
        <f ca="1">IF(Productos[[#This Row],[Stock]]&lt;0,"",+Productos[[#This Row],[Stock]]*Productos[[#This Row],[Costo Unitario]])</f>
        <v>708</v>
      </c>
      <c r="K125">
        <v>250</v>
      </c>
      <c r="L125" s="57">
        <f>IF(Productos[[#This Row],[Stock]]&lt;0,"",+Productos[[#This Row],[Stock]]*Productos[[#This Row],[Precio Unitario]])</f>
        <v>750</v>
      </c>
      <c r="M125" s="57">
        <f ca="1">IF(Productos[[#This Row],[Stock]]&lt;0,"",+Productos[[#This Row],[Total2]]-Productos[[#This Row],[Total]])</f>
        <v>42</v>
      </c>
    </row>
    <row r="126" spans="1:13" x14ac:dyDescent="0.25">
      <c r="A126" t="s">
        <v>839</v>
      </c>
      <c r="B126" t="s">
        <v>163</v>
      </c>
      <c r="C126" t="s">
        <v>75</v>
      </c>
      <c r="D126" t="s">
        <v>528</v>
      </c>
      <c r="E126">
        <v>3</v>
      </c>
      <c r="F126" s="57">
        <f>+SUMIF(Compras[[#All],[Codigo de Producto]],Productos[[#All],[Codigo de Producto]],Compras[[#All],[Cantidad]])</f>
        <v>0</v>
      </c>
      <c r="G126" s="57">
        <f>+SUMIF(Ventas[[#All],[Codigo de Producto]],Productos[[#All],[Codigo de Producto]],Ventas[[#All],[Cantidad]])</f>
        <v>0</v>
      </c>
      <c r="H126" s="57">
        <f>+Productos[[#This Row],[Existencias Iniciales]]+Productos[[#This Row],[Entradas]]-Productos[[#This Row],[Salidas]]</f>
        <v>3</v>
      </c>
      <c r="I126">
        <v>54</v>
      </c>
      <c r="J126" s="57">
        <f>IF(Productos[[#This Row],[Stock]]&lt;0,"",+Productos[[#This Row],[Stock]]*Productos[[#This Row],[Costo Unitario]])</f>
        <v>162</v>
      </c>
      <c r="K126">
        <v>75</v>
      </c>
      <c r="L126" s="57">
        <f>IF(Productos[[#This Row],[Stock]]&lt;0,"",+Productos[[#This Row],[Stock]]*Productos[[#This Row],[Precio Unitario]])</f>
        <v>225</v>
      </c>
      <c r="M126" s="57">
        <f>IF(Productos[[#This Row],[Stock]]&lt;0,"",+Productos[[#This Row],[Total2]]-Productos[[#This Row],[Total]])</f>
        <v>63</v>
      </c>
    </row>
    <row r="127" spans="1:13" x14ac:dyDescent="0.25">
      <c r="A127" t="s">
        <v>719</v>
      </c>
      <c r="B127" t="s">
        <v>198</v>
      </c>
      <c r="C127" t="s">
        <v>44</v>
      </c>
      <c r="D127" t="s">
        <v>723</v>
      </c>
      <c r="E127">
        <v>15</v>
      </c>
      <c r="F127" s="57">
        <f>+SUMIF(Compras[[#All],[Codigo de Producto]],Productos[[#All],[Codigo de Producto]],Compras[[#All],[Cantidad]])</f>
        <v>0</v>
      </c>
      <c r="G127" s="57">
        <f>+SUMIF(Ventas[[#All],[Codigo de Producto]],Productos[[#All],[Codigo de Producto]],Ventas[[#All],[Cantidad]])</f>
        <v>12</v>
      </c>
      <c r="H127" s="57">
        <f>+Productos[[#This Row],[Existencias Iniciales]]+Productos[[#This Row],[Entradas]]-Productos[[#This Row],[Salidas]]</f>
        <v>3</v>
      </c>
      <c r="I127">
        <v>20</v>
      </c>
      <c r="J127">
        <f>IF(Productos[[#This Row],[Stock]]&lt;0,"",+Productos[[#This Row],[Stock]]*Productos[[#This Row],[Costo Unitario]])</f>
        <v>60</v>
      </c>
      <c r="K127">
        <v>35</v>
      </c>
      <c r="L127" s="57">
        <f>IF(Productos[[#This Row],[Stock]]&lt;0,"",+Productos[[#This Row],[Stock]]*Productos[[#This Row],[Precio Unitario]])</f>
        <v>105</v>
      </c>
      <c r="M127" s="57">
        <f>IF(Productos[[#This Row],[Stock]]&lt;0,"",+Productos[[#This Row],[Total2]]-Productos[[#This Row],[Total]])</f>
        <v>45</v>
      </c>
    </row>
    <row r="128" spans="1:13" x14ac:dyDescent="0.25">
      <c r="A128" t="s">
        <v>743</v>
      </c>
      <c r="B128" t="s">
        <v>167</v>
      </c>
      <c r="C128" t="s">
        <v>55</v>
      </c>
      <c r="D128" t="s">
        <v>747</v>
      </c>
      <c r="F128" s="57">
        <f>+SUMIF(Compras[[#All],[Codigo de Producto]],Productos[[#All],[Codigo de Producto]],Compras[[#All],[Cantidad]])</f>
        <v>3.4</v>
      </c>
      <c r="G128" s="57">
        <f>+SUMIF(Ventas[[#All],[Codigo de Producto]],Productos[[#All],[Codigo de Producto]],Ventas[[#All],[Cantidad]])</f>
        <v>0</v>
      </c>
      <c r="H128" s="57">
        <f>+Productos[[#This Row],[Existencias Iniciales]]+Productos[[#This Row],[Entradas]]-Productos[[#This Row],[Salidas]]</f>
        <v>3.4</v>
      </c>
      <c r="I128">
        <v>256</v>
      </c>
      <c r="J128">
        <f>IF(Productos[[#This Row],[Stock]]&lt;0,"",+Productos[[#This Row],[Stock]]*Productos[[#This Row],[Costo Unitario]])</f>
        <v>870.4</v>
      </c>
      <c r="K128">
        <v>290</v>
      </c>
      <c r="L128" s="57">
        <f>IF(Productos[[#This Row],[Stock]]&lt;0,"",+Productos[[#This Row],[Stock]]*Productos[[#This Row],[Precio Unitario]])</f>
        <v>986</v>
      </c>
      <c r="M128" s="57">
        <f>IF(Productos[[#This Row],[Stock]]&lt;0,"",+Productos[[#This Row],[Total2]]-Productos[[#This Row],[Total]])</f>
        <v>115.60000000000002</v>
      </c>
    </row>
    <row r="129" spans="1:13" x14ac:dyDescent="0.25">
      <c r="A129" t="s">
        <v>744</v>
      </c>
      <c r="B129" t="s">
        <v>167</v>
      </c>
      <c r="C129" t="s">
        <v>55</v>
      </c>
      <c r="D129" t="s">
        <v>748</v>
      </c>
      <c r="F129" s="57">
        <f>+SUMIF(Compras[[#All],[Codigo de Producto]],Productos[[#All],[Codigo de Producto]],Compras[[#All],[Cantidad]])</f>
        <v>3.4</v>
      </c>
      <c r="G129" s="57">
        <f>+SUMIF(Ventas[[#All],[Codigo de Producto]],Productos[[#All],[Codigo de Producto]],Ventas[[#All],[Cantidad]])</f>
        <v>0</v>
      </c>
      <c r="H129" s="57">
        <f>+Productos[[#This Row],[Existencias Iniciales]]+Productos[[#This Row],[Entradas]]-Productos[[#This Row],[Salidas]]</f>
        <v>3.4</v>
      </c>
      <c r="I129">
        <v>256</v>
      </c>
      <c r="J129">
        <f>IF(Productos[[#This Row],[Stock]]&lt;0,"",+Productos[[#This Row],[Stock]]*Productos[[#This Row],[Costo Unitario]])</f>
        <v>870.4</v>
      </c>
      <c r="K129">
        <v>290</v>
      </c>
      <c r="L129" s="57">
        <f>IF(Productos[[#This Row],[Stock]]&lt;0,"",+Productos[[#This Row],[Stock]]*Productos[[#This Row],[Precio Unitario]])</f>
        <v>986</v>
      </c>
      <c r="M129" s="57">
        <f>IF(Productos[[#This Row],[Stock]]&lt;0,"",+Productos[[#This Row],[Total2]]-Productos[[#This Row],[Total]])</f>
        <v>115.60000000000002</v>
      </c>
    </row>
    <row r="130" spans="1:13" x14ac:dyDescent="0.25">
      <c r="A130" t="s">
        <v>668</v>
      </c>
      <c r="B130" t="s">
        <v>167</v>
      </c>
      <c r="C130" t="s">
        <v>55</v>
      </c>
      <c r="D130" t="s">
        <v>454</v>
      </c>
      <c r="E130">
        <f>5+(5/12)</f>
        <v>5.416666666666667</v>
      </c>
      <c r="F130">
        <f>+SUMIF(Compras[[#All],[Codigo de Producto]],Productos[[#All],[Codigo de Producto]],Compras[[#All],[Cantidad]])</f>
        <v>0</v>
      </c>
      <c r="G130">
        <f>+SUMIF(Ventas[[#All],[Codigo de Producto]],Productos[[#All],[Codigo de Producto]],Ventas[[#All],[Cantidad]])</f>
        <v>2</v>
      </c>
      <c r="H130">
        <f>+Productos[[#This Row],[Existencias Iniciales]]+Productos[[#This Row],[Entradas]]-Productos[[#This Row],[Salidas]]</f>
        <v>3.416666666666667</v>
      </c>
      <c r="I130">
        <v>268</v>
      </c>
      <c r="J130">
        <f>IF(Productos[[#This Row],[Stock]]&lt;0,"",+Productos[[#This Row],[Stock]]*Productos[[#This Row],[Costo Unitario]])</f>
        <v>915.66666666666674</v>
      </c>
      <c r="K130">
        <v>300</v>
      </c>
      <c r="L130">
        <f>IF(Productos[[#This Row],[Stock]]&lt;0,"",+Productos[[#This Row],[Stock]]*Productos[[#This Row],[Precio Unitario]])</f>
        <v>1025</v>
      </c>
      <c r="M130">
        <f>IF(Productos[[#This Row],[Stock]]&lt;0,"",+Productos[[#This Row],[Total2]]-Productos[[#This Row],[Total]])</f>
        <v>109.33333333333326</v>
      </c>
    </row>
    <row r="131" spans="1:13" x14ac:dyDescent="0.25">
      <c r="A131" t="s">
        <v>634</v>
      </c>
      <c r="B131" t="s">
        <v>167</v>
      </c>
      <c r="C131" t="s">
        <v>55</v>
      </c>
      <c r="D131" t="s">
        <v>595</v>
      </c>
      <c r="E131">
        <f>2*1.41+(11/17)</f>
        <v>3.4670588235294115</v>
      </c>
      <c r="F131">
        <f>+SUMIF(Compras[[#All],[Codigo de Producto]],Productos[[#All],[Codigo de Producto]],Compras[[#All],[Cantidad]])</f>
        <v>0</v>
      </c>
      <c r="G131">
        <f>+SUMIF(Ventas[[#All],[Codigo de Producto]],Productos[[#All],[Codigo de Producto]],Ventas[[#All],[Cantidad]])</f>
        <v>0</v>
      </c>
      <c r="H131">
        <f>+Productos[[#This Row],[Existencias Iniciales]]+Productos[[#This Row],[Entradas]]-Productos[[#This Row],[Salidas]]</f>
        <v>3.4670588235294115</v>
      </c>
      <c r="I131">
        <v>268</v>
      </c>
      <c r="J131">
        <f>IF(Productos[[#This Row],[Stock]]&lt;0,"",+Productos[[#This Row],[Stock]]*Productos[[#This Row],[Costo Unitario]])</f>
        <v>929.17176470588231</v>
      </c>
      <c r="K131">
        <v>300</v>
      </c>
      <c r="L131">
        <f>IF(Productos[[#This Row],[Stock]]&lt;0,"",+Productos[[#This Row],[Stock]]*Productos[[#This Row],[Precio Unitario]])</f>
        <v>1040.1176470588234</v>
      </c>
      <c r="M131">
        <f>IF(Productos[[#This Row],[Stock]]&lt;0,"",+Productos[[#This Row],[Total2]]-Productos[[#This Row],[Total]])</f>
        <v>110.94588235294111</v>
      </c>
    </row>
    <row r="132" spans="1:13" x14ac:dyDescent="0.25">
      <c r="A132" t="s">
        <v>703</v>
      </c>
      <c r="B132" t="s">
        <v>167</v>
      </c>
      <c r="C132" t="s">
        <v>617</v>
      </c>
      <c r="D132" t="s">
        <v>401</v>
      </c>
      <c r="E132">
        <f>18*1.33+(7/9)</f>
        <v>24.71777777777778</v>
      </c>
      <c r="F132">
        <f>+SUMIF(Compras[[#All],[Codigo de Producto]],Productos[[#All],[Codigo de Producto]],Compras[[#All],[Cantidad]])</f>
        <v>0</v>
      </c>
      <c r="G132">
        <f>+SUMIF(Ventas[[#All],[Codigo de Producto]],Productos[[#All],[Codigo de Producto]],Ventas[[#All],[Cantidad]])</f>
        <v>21.222222222222221</v>
      </c>
      <c r="H132">
        <f>+Productos[[#This Row],[Existencias Iniciales]]+Productos[[#This Row],[Entradas]]-Productos[[#This Row],[Salidas]]</f>
        <v>3.4955555555555584</v>
      </c>
      <c r="I132">
        <v>268</v>
      </c>
      <c r="J132">
        <f>IF(Productos[[#This Row],[Stock]]&lt;0,"",+Productos[[#This Row],[Stock]]*Productos[[#This Row],[Costo Unitario]])</f>
        <v>936.80888888888967</v>
      </c>
      <c r="K132">
        <v>300</v>
      </c>
      <c r="L132">
        <f>IF(Productos[[#This Row],[Stock]]&lt;0,"",+Productos[[#This Row],[Stock]]*Productos[[#This Row],[Precio Unitario]])</f>
        <v>1048.6666666666674</v>
      </c>
      <c r="M132">
        <f>IF(Productos[[#This Row],[Stock]]&lt;0,"",+Productos[[#This Row],[Total2]]-Productos[[#This Row],[Total]])</f>
        <v>111.85777777777776</v>
      </c>
    </row>
    <row r="133" spans="1:13" x14ac:dyDescent="0.25">
      <c r="A133" t="s">
        <v>678</v>
      </c>
      <c r="B133" t="s">
        <v>163</v>
      </c>
      <c r="C133" t="s">
        <v>617</v>
      </c>
      <c r="D133" t="s">
        <v>32</v>
      </c>
      <c r="E133">
        <f>5*1.54+(9/9)</f>
        <v>8.6999999999999993</v>
      </c>
      <c r="F133">
        <f>+SUMIF(Compras[[#All],[Codigo de Producto]],Productos[[#All],[Codigo de Producto]],Compras[[#All],[Cantidad]])</f>
        <v>0</v>
      </c>
      <c r="G133">
        <f>+SUMIF(Ventas[[#All],[Codigo de Producto]],Productos[[#All],[Codigo de Producto]],Ventas[[#All],[Cantidad]])</f>
        <v>5.1111111111111107</v>
      </c>
      <c r="H133">
        <f>+Productos[[#This Row],[Existencias Iniciales]]+Productos[[#This Row],[Entradas]]-Productos[[#This Row],[Salidas]]</f>
        <v>3.5888888888888886</v>
      </c>
      <c r="I133">
        <v>248</v>
      </c>
      <c r="J133">
        <f>IF(Productos[[#This Row],[Stock]]&lt;0,"",+Productos[[#This Row],[Stock]]*Productos[[#This Row],[Costo Unitario]])</f>
        <v>890.04444444444437</v>
      </c>
      <c r="K133">
        <v>280</v>
      </c>
      <c r="L133">
        <f>IF(Productos[[#This Row],[Stock]]&lt;0,"",+Productos[[#This Row],[Stock]]*Productos[[#This Row],[Precio Unitario]])</f>
        <v>1004.8888888888888</v>
      </c>
      <c r="M133">
        <f>IF(Productos[[#This Row],[Stock]]&lt;0,"",+Productos[[#This Row],[Total2]]-Productos[[#This Row],[Total]])</f>
        <v>114.84444444444443</v>
      </c>
    </row>
    <row r="134" spans="1:13" x14ac:dyDescent="0.25">
      <c r="A134" t="s">
        <v>659</v>
      </c>
      <c r="B134" t="s">
        <v>99</v>
      </c>
      <c r="C134" t="s">
        <v>26</v>
      </c>
      <c r="D134" t="s">
        <v>648</v>
      </c>
      <c r="E134">
        <f>3/4*1.44</f>
        <v>1.08</v>
      </c>
      <c r="F134">
        <f>+SUMIF(Compras[[#All],[Codigo de Producto]],Productos[[#All],[Codigo de Producto]],Compras[[#All],[Cantidad]])</f>
        <v>2.88</v>
      </c>
      <c r="G134">
        <f>+SUMIF(Ventas[[#All],[Codigo de Producto]],Productos[[#All],[Codigo de Producto]],Ventas[[#All],[Cantidad]])</f>
        <v>0</v>
      </c>
      <c r="H134">
        <f>+Productos[[#This Row],[Existencias Iniciales]]+Productos[[#This Row],[Entradas]]-Productos[[#This Row],[Salidas]]</f>
        <v>3.96</v>
      </c>
      <c r="I134">
        <v>412</v>
      </c>
      <c r="J134">
        <f>IF(Productos[[#This Row],[Stock]]&lt;0,"",+Productos[[#This Row],[Stock]]*Productos[[#This Row],[Costo Unitario]])</f>
        <v>1631.52</v>
      </c>
      <c r="K134">
        <v>450</v>
      </c>
      <c r="L134">
        <f>IF(Productos[[#This Row],[Stock]]&lt;0,"",+Productos[[#This Row],[Stock]]*Productos[[#This Row],[Precio Unitario]])</f>
        <v>1782</v>
      </c>
      <c r="M134">
        <f>IF(Productos[[#This Row],[Stock]]&lt;0,"",+Productos[[#This Row],[Total2]]-Productos[[#This Row],[Total]])</f>
        <v>150.48000000000002</v>
      </c>
    </row>
    <row r="135" spans="1:13" x14ac:dyDescent="0.25">
      <c r="A135" t="s">
        <v>644</v>
      </c>
      <c r="B135" t="s">
        <v>167</v>
      </c>
      <c r="C135" t="s">
        <v>617</v>
      </c>
      <c r="D135" t="s">
        <v>490</v>
      </c>
      <c r="E135">
        <v>20</v>
      </c>
      <c r="F135">
        <f>+SUMIF(Compras[[#All],[Codigo de Producto]],Productos[[#All],[Codigo de Producto]],Compras[[#All],[Cantidad]])</f>
        <v>0</v>
      </c>
      <c r="G135">
        <f>+SUMIF(Ventas[[#All],[Codigo de Producto]],Productos[[#All],[Codigo de Producto]],Ventas[[#All],[Cantidad]])</f>
        <v>16</v>
      </c>
      <c r="H135">
        <f>+Productos[[#This Row],[Existencias Iniciales]]+Productos[[#This Row],[Entradas]]-Productos[[#This Row],[Salidas]]</f>
        <v>4</v>
      </c>
      <c r="I135">
        <v>207</v>
      </c>
      <c r="J135">
        <f>IF(Productos[[#This Row],[Stock]]&lt;0,"",+Productos[[#This Row],[Stock]]*Productos[[#This Row],[Costo Unitario]])</f>
        <v>828</v>
      </c>
      <c r="K135">
        <v>240</v>
      </c>
      <c r="L135">
        <f>IF(Productos[[#This Row],[Stock]]&lt;0,"",+Productos[[#This Row],[Stock]]*Productos[[#This Row],[Precio Unitario]])</f>
        <v>960</v>
      </c>
      <c r="M135">
        <f>IF(Productos[[#This Row],[Stock]]&lt;0,"",+Productos[[#This Row],[Total2]]-Productos[[#This Row],[Total]])</f>
        <v>132</v>
      </c>
    </row>
    <row r="136" spans="1:13" x14ac:dyDescent="0.25">
      <c r="A136" t="s">
        <v>792</v>
      </c>
      <c r="B136" t="s">
        <v>198</v>
      </c>
      <c r="C136" t="s">
        <v>68</v>
      </c>
      <c r="D136" t="s">
        <v>791</v>
      </c>
      <c r="E136">
        <v>4</v>
      </c>
      <c r="F136" s="57">
        <f>+SUMIF(Compras[[#All],[Codigo de Producto]],Productos[[#All],[Codigo de Producto]],Compras[[#All],[Cantidad]])</f>
        <v>0</v>
      </c>
      <c r="G136" s="57">
        <f>+SUMIF(Ventas[[#All],[Codigo de Producto]],Productos[[#All],[Codigo de Producto]],Ventas[[#All],[Cantidad]])</f>
        <v>0</v>
      </c>
      <c r="H136" s="57">
        <f>+Productos[[#This Row],[Existencias Iniciales]]+Productos[[#This Row],[Entradas]]-Productos[[#This Row],[Salidas]]</f>
        <v>4</v>
      </c>
      <c r="I136">
        <f ca="1">+SUMIF(Compras[[#All],[Codigo de Producto]],Productos[[#All],[Codigo de Producto]],Compras[[#Headers],[Precio]])</f>
        <v>0</v>
      </c>
      <c r="J136" s="57">
        <f ca="1">IF(Productos[[#This Row],[Stock]]&lt;0,"",+Productos[[#This Row],[Stock]]*Productos[[#This Row],[Costo Unitario]])</f>
        <v>0</v>
      </c>
      <c r="K136">
        <v>160</v>
      </c>
      <c r="L136" s="57">
        <f>IF(Productos[[#This Row],[Stock]]&lt;0,"",+Productos[[#This Row],[Stock]]*Productos[[#This Row],[Precio Unitario]])</f>
        <v>640</v>
      </c>
      <c r="M136" s="57">
        <f ca="1">IF(Productos[[#This Row],[Stock]]&lt;0,"",+Productos[[#This Row],[Total2]]-Productos[[#This Row],[Total]])</f>
        <v>640</v>
      </c>
    </row>
    <row r="137" spans="1:13" x14ac:dyDescent="0.25">
      <c r="A137" t="s">
        <v>888</v>
      </c>
      <c r="B137" t="s">
        <v>165</v>
      </c>
      <c r="C137" t="s">
        <v>56</v>
      </c>
      <c r="D137" t="s">
        <v>887</v>
      </c>
      <c r="F137" s="57">
        <f>+SUMIF(Compras[[#All],[Codigo de Producto]],Productos[[#All],[Codigo de Producto]],Compras[[#All],[Cantidad]])</f>
        <v>50</v>
      </c>
      <c r="G137" s="57">
        <f>+SUMIF(Ventas[[#All],[Codigo de Producto]],Productos[[#All],[Codigo de Producto]],Ventas[[#All],[Cantidad]])</f>
        <v>46</v>
      </c>
      <c r="H137" s="57">
        <f>+Productos[[#This Row],[Existencias Iniciales]]+Productos[[#This Row],[Entradas]]-Productos[[#This Row],[Salidas]]</f>
        <v>4</v>
      </c>
      <c r="I137">
        <v>34</v>
      </c>
      <c r="J137" s="57">
        <f>IF(Productos[[#This Row],[Stock]]&lt;0,"",+Productos[[#This Row],[Stock]]*Productos[[#This Row],[Costo Unitario]])</f>
        <v>136</v>
      </c>
      <c r="K137">
        <v>60</v>
      </c>
      <c r="L137" s="57">
        <f>IF(Productos[[#This Row],[Stock]]&lt;0,"",+Productos[[#This Row],[Stock]]*Productos[[#This Row],[Precio Unitario]])</f>
        <v>240</v>
      </c>
      <c r="M137" s="57">
        <f>IF(Productos[[#This Row],[Stock]]&lt;0,"",+Productos[[#This Row],[Total2]]-Productos[[#This Row],[Total]])</f>
        <v>104</v>
      </c>
    </row>
    <row r="138" spans="1:13" x14ac:dyDescent="0.25">
      <c r="A138" t="s">
        <v>807</v>
      </c>
      <c r="B138" t="s">
        <v>167</v>
      </c>
      <c r="C138" t="s">
        <v>70</v>
      </c>
      <c r="D138" t="s">
        <v>602</v>
      </c>
      <c r="E138">
        <v>4</v>
      </c>
      <c r="F138" s="57">
        <f>+SUMIF(Compras[[#All],[Codigo de Producto]],Productos[[#All],[Codigo de Producto]],Compras[[#All],[Cantidad]])</f>
        <v>0</v>
      </c>
      <c r="G138" s="57">
        <f>+SUMIF(Ventas[[#All],[Codigo de Producto]],Productos[[#All],[Codigo de Producto]],Ventas[[#All],[Cantidad]])</f>
        <v>0</v>
      </c>
      <c r="H138" s="57">
        <f>+Productos[[#This Row],[Existencias Iniciales]]+Productos[[#This Row],[Entradas]]-Productos[[#This Row],[Salidas]]</f>
        <v>4</v>
      </c>
      <c r="I138">
        <f ca="1">+SUMIF(Compras[[#All],[Codigo de Producto]],Productos[[#All],[Codigo de Producto]],Compras[[#Headers],[Precio]])</f>
        <v>0</v>
      </c>
      <c r="J138" s="57">
        <f ca="1">IF(Productos[[#This Row],[Stock]]&lt;0,"",+Productos[[#This Row],[Stock]]*Productos[[#This Row],[Costo Unitario]])</f>
        <v>0</v>
      </c>
      <c r="K138">
        <v>400</v>
      </c>
      <c r="L138" s="57">
        <f>IF(Productos[[#This Row],[Stock]]&lt;0,"",+Productos[[#This Row],[Stock]]*Productos[[#This Row],[Precio Unitario]])</f>
        <v>1600</v>
      </c>
      <c r="M138" s="57">
        <f ca="1">IF(Productos[[#This Row],[Stock]]&lt;0,"",+Productos[[#This Row],[Total2]]-Productos[[#This Row],[Total]])</f>
        <v>1600</v>
      </c>
    </row>
    <row r="139" spans="1:13" x14ac:dyDescent="0.25">
      <c r="A139" t="s">
        <v>868</v>
      </c>
      <c r="B139" t="s">
        <v>198</v>
      </c>
      <c r="C139" t="s">
        <v>85</v>
      </c>
      <c r="D139" t="s">
        <v>197</v>
      </c>
      <c r="E139">
        <v>6</v>
      </c>
      <c r="F139" s="57">
        <f>+SUMIF(Compras[[#All],[Codigo de Producto]],Productos[[#All],[Codigo de Producto]],Compras[[#All],[Cantidad]])</f>
        <v>0</v>
      </c>
      <c r="G139" s="57">
        <f>+SUMIF(Ventas[[#All],[Codigo de Producto]],Productos[[#All],[Codigo de Producto]],Ventas[[#All],[Cantidad]])</f>
        <v>2</v>
      </c>
      <c r="H139" s="57">
        <f>+Productos[[#This Row],[Existencias Iniciales]]+Productos[[#This Row],[Entradas]]-Productos[[#This Row],[Salidas]]</f>
        <v>4</v>
      </c>
      <c r="I139">
        <v>72</v>
      </c>
      <c r="J139" s="57">
        <f>IF(Productos[[#This Row],[Stock]]&lt;0,"",+Productos[[#This Row],[Stock]]*Productos[[#This Row],[Costo Unitario]])</f>
        <v>288</v>
      </c>
      <c r="K139">
        <v>100</v>
      </c>
      <c r="L139" s="57">
        <f>IF(Productos[[#This Row],[Stock]]&lt;0,"",+Productos[[#This Row],[Stock]]*Productos[[#This Row],[Precio Unitario]])</f>
        <v>400</v>
      </c>
      <c r="M139" s="57">
        <f>IF(Productos[[#This Row],[Stock]]&lt;0,"",+Productos[[#This Row],[Total2]]-Productos[[#This Row],[Total]])</f>
        <v>112</v>
      </c>
    </row>
    <row r="140" spans="1:13" x14ac:dyDescent="0.25">
      <c r="A140" t="s">
        <v>674</v>
      </c>
      <c r="B140" t="s">
        <v>163</v>
      </c>
      <c r="C140" t="s">
        <v>85</v>
      </c>
      <c r="D140" t="s">
        <v>474</v>
      </c>
      <c r="E140">
        <v>5</v>
      </c>
      <c r="F140">
        <f>+SUMIF(Compras[[#All],[Codigo de Producto]],Productos[[#All],[Codigo de Producto]],Compras[[#All],[Cantidad]])</f>
        <v>0</v>
      </c>
      <c r="G140">
        <f>+SUMIF(Ventas[[#All],[Codigo de Producto]],Productos[[#All],[Codigo de Producto]],Ventas[[#All],[Cantidad]])</f>
        <v>1</v>
      </c>
      <c r="H140">
        <f>+Productos[[#This Row],[Existencias Iniciales]]+Productos[[#This Row],[Entradas]]-Productos[[#This Row],[Salidas]]</f>
        <v>4</v>
      </c>
      <c r="I140">
        <v>750</v>
      </c>
      <c r="J140">
        <f>IF(Productos[[#This Row],[Stock]]&lt;0,"",+Productos[[#This Row],[Stock]]*Productos[[#This Row],[Costo Unitario]])</f>
        <v>3000</v>
      </c>
      <c r="K140">
        <v>900</v>
      </c>
      <c r="L140">
        <f>IF(Productos[[#This Row],[Stock]]&lt;0,"",+Productos[[#This Row],[Stock]]*Productos[[#This Row],[Precio Unitario]])</f>
        <v>3600</v>
      </c>
      <c r="M140">
        <f>IF(Productos[[#This Row],[Stock]]&lt;0,"",+Productos[[#This Row],[Total2]]-Productos[[#This Row],[Total]])</f>
        <v>600</v>
      </c>
    </row>
    <row r="141" spans="1:13" x14ac:dyDescent="0.25">
      <c r="A141" t="s">
        <v>825</v>
      </c>
      <c r="B141" t="s">
        <v>166</v>
      </c>
      <c r="C141" t="s">
        <v>68</v>
      </c>
      <c r="D141" t="s">
        <v>812</v>
      </c>
      <c r="E141">
        <v>4</v>
      </c>
      <c r="F141" s="57">
        <f>+SUMIF(Compras[[#All],[Codigo de Producto]],Productos[[#All],[Codigo de Producto]],Compras[[#All],[Cantidad]])</f>
        <v>0</v>
      </c>
      <c r="G141" s="57">
        <f>+SUMIF(Ventas[[#All],[Codigo de Producto]],Productos[[#All],[Codigo de Producto]],Ventas[[#All],[Cantidad]])</f>
        <v>0</v>
      </c>
      <c r="H141" s="57">
        <f>+Productos[[#This Row],[Existencias Iniciales]]+Productos[[#This Row],[Entradas]]-Productos[[#This Row],[Salidas]]</f>
        <v>4</v>
      </c>
      <c r="I141">
        <f ca="1">+SUMIF(Compras[[#All],[Codigo de Producto]],Productos[[#All],[Codigo de Producto]],Compras[[#Headers],[Precio]])</f>
        <v>0</v>
      </c>
      <c r="J141" s="57">
        <f ca="1">IF(Productos[[#This Row],[Stock]]&lt;0,"",+Productos[[#This Row],[Stock]]*Productos[[#This Row],[Costo Unitario]])</f>
        <v>0</v>
      </c>
      <c r="K141">
        <v>160</v>
      </c>
      <c r="L141" s="57">
        <f>IF(Productos[[#This Row],[Stock]]&lt;0,"",+Productos[[#This Row],[Stock]]*Productos[[#This Row],[Precio Unitario]])</f>
        <v>640</v>
      </c>
      <c r="M141" s="57">
        <f ca="1">IF(Productos[[#This Row],[Stock]]&lt;0,"",+Productos[[#This Row],[Total2]]-Productos[[#This Row],[Total]])</f>
        <v>640</v>
      </c>
    </row>
    <row r="142" spans="1:13" x14ac:dyDescent="0.25">
      <c r="A142" t="s">
        <v>657</v>
      </c>
      <c r="B142" t="s">
        <v>167</v>
      </c>
      <c r="C142" t="s">
        <v>26</v>
      </c>
      <c r="D142" t="s">
        <v>531</v>
      </c>
      <c r="E142">
        <f>3*1.44</f>
        <v>4.32</v>
      </c>
      <c r="F142">
        <f>+SUMIF(Compras[[#All],[Codigo de Producto]],Productos[[#All],[Codigo de Producto]],Compras[[#All],[Cantidad]])</f>
        <v>0</v>
      </c>
      <c r="G142">
        <f>+SUMIF(Ventas[[#All],[Codigo de Producto]],Productos[[#All],[Codigo de Producto]],Ventas[[#All],[Cantidad]])</f>
        <v>0</v>
      </c>
      <c r="H142">
        <f>+Productos[[#This Row],[Existencias Iniciales]]+Productos[[#This Row],[Entradas]]-Productos[[#This Row],[Salidas]]</f>
        <v>4.32</v>
      </c>
      <c r="I142">
        <v>350</v>
      </c>
      <c r="J142">
        <f>IF(Productos[[#This Row],[Stock]]&lt;0,"",+Productos[[#This Row],[Stock]]*Productos[[#This Row],[Costo Unitario]])</f>
        <v>1512</v>
      </c>
      <c r="K142">
        <v>425</v>
      </c>
      <c r="L142">
        <f>IF(Productos[[#This Row],[Stock]]&lt;0,"",+Productos[[#This Row],[Stock]]*Productos[[#This Row],[Precio Unitario]])</f>
        <v>1836.0000000000002</v>
      </c>
      <c r="M142">
        <f>IF(Productos[[#This Row],[Stock]]&lt;0,"",+Productos[[#This Row],[Total2]]-Productos[[#This Row],[Total]])</f>
        <v>324.00000000000023</v>
      </c>
    </row>
    <row r="143" spans="1:13" x14ac:dyDescent="0.25">
      <c r="A143" t="s">
        <v>656</v>
      </c>
      <c r="B143" t="s">
        <v>167</v>
      </c>
      <c r="C143" t="s">
        <v>26</v>
      </c>
      <c r="D143" t="s">
        <v>592</v>
      </c>
      <c r="E143">
        <f>3*1.44</f>
        <v>4.32</v>
      </c>
      <c r="F143">
        <f>+SUMIF(Compras[[#All],[Codigo de Producto]],Productos[[#All],[Codigo de Producto]],Compras[[#All],[Cantidad]])</f>
        <v>0</v>
      </c>
      <c r="G143">
        <f>+SUMIF(Ventas[[#All],[Codigo de Producto]],Productos[[#All],[Codigo de Producto]],Ventas[[#All],[Cantidad]])</f>
        <v>0</v>
      </c>
      <c r="H143">
        <f>+Productos[[#This Row],[Existencias Iniciales]]+Productos[[#This Row],[Entradas]]-Productos[[#This Row],[Salidas]]</f>
        <v>4.32</v>
      </c>
      <c r="I143">
        <v>350</v>
      </c>
      <c r="J143">
        <f>IF(Productos[[#This Row],[Stock]]&lt;0,"",+Productos[[#This Row],[Stock]]*Productos[[#This Row],[Costo Unitario]])</f>
        <v>1512</v>
      </c>
      <c r="K143">
        <v>425</v>
      </c>
      <c r="L143">
        <f>IF(Productos[[#This Row],[Stock]]&lt;0,"",+Productos[[#This Row],[Stock]]*Productos[[#This Row],[Precio Unitario]])</f>
        <v>1836.0000000000002</v>
      </c>
      <c r="M143">
        <f>IF(Productos[[#This Row],[Stock]]&lt;0,"",+Productos[[#This Row],[Total2]]-Productos[[#This Row],[Total]])</f>
        <v>324.00000000000023</v>
      </c>
    </row>
    <row r="144" spans="1:13" x14ac:dyDescent="0.25">
      <c r="A144" t="s">
        <v>629</v>
      </c>
      <c r="B144" t="s">
        <v>167</v>
      </c>
      <c r="C144" t="s">
        <v>55</v>
      </c>
      <c r="D144" t="s">
        <v>254</v>
      </c>
      <c r="E144">
        <f>4+(4/12)</f>
        <v>4.333333333333333</v>
      </c>
      <c r="F144">
        <f>+SUMIF(Compras[[#All],[Codigo de Producto]],Productos[[#All],[Codigo de Producto]],Compras[[#All],[Cantidad]])</f>
        <v>0</v>
      </c>
      <c r="G144">
        <f>+SUMIF(Ventas[[#All],[Codigo de Producto]],Productos[[#All],[Codigo de Producto]],Ventas[[#All],[Cantidad]])</f>
        <v>0</v>
      </c>
      <c r="H144">
        <f>+Productos[[#This Row],[Existencias Iniciales]]+Productos[[#This Row],[Entradas]]-Productos[[#This Row],[Salidas]]</f>
        <v>4.333333333333333</v>
      </c>
      <c r="I144">
        <v>268</v>
      </c>
      <c r="J144">
        <f>IF(Productos[[#This Row],[Stock]]&lt;0,"",+Productos[[#This Row],[Stock]]*Productos[[#This Row],[Costo Unitario]])</f>
        <v>1161.3333333333333</v>
      </c>
      <c r="K144">
        <v>300</v>
      </c>
      <c r="L144">
        <f>IF(Productos[[#This Row],[Stock]]&lt;0,"",+Productos[[#This Row],[Stock]]*Productos[[#This Row],[Precio Unitario]])</f>
        <v>1300</v>
      </c>
      <c r="M144">
        <f>IF(Productos[[#This Row],[Stock]]&lt;0,"",+Productos[[#This Row],[Total2]]-Productos[[#This Row],[Total]])</f>
        <v>138.66666666666674</v>
      </c>
    </row>
    <row r="145" spans="1:13" x14ac:dyDescent="0.25">
      <c r="A145" t="s">
        <v>853</v>
      </c>
      <c r="B145" t="s">
        <v>167</v>
      </c>
      <c r="C145" t="s">
        <v>55</v>
      </c>
      <c r="D145" t="s">
        <v>578</v>
      </c>
      <c r="E145">
        <v>6</v>
      </c>
      <c r="F145" s="57">
        <f>+SUMIF(Compras[[#All],[Codigo de Producto]],Productos[[#All],[Codigo de Producto]],Compras[[#All],[Cantidad]])</f>
        <v>0</v>
      </c>
      <c r="G145" s="57">
        <f>+SUMIF(Ventas[[#All],[Codigo de Producto]],Productos[[#All],[Codigo de Producto]],Ventas[[#All],[Cantidad]])</f>
        <v>1.5</v>
      </c>
      <c r="H145" s="57">
        <f>+Productos[[#This Row],[Existencias Iniciales]]+Productos[[#This Row],[Entradas]]-Productos[[#This Row],[Salidas]]</f>
        <v>4.5</v>
      </c>
      <c r="I145">
        <v>268</v>
      </c>
      <c r="J145" s="57">
        <f>IF(Productos[[#This Row],[Stock]]&lt;0,"",+Productos[[#This Row],[Stock]]*Productos[[#This Row],[Costo Unitario]])</f>
        <v>1206</v>
      </c>
      <c r="K145">
        <v>300</v>
      </c>
      <c r="L145" s="57">
        <f>IF(Productos[[#This Row],[Stock]]&lt;0,"",+Productos[[#This Row],[Stock]]*Productos[[#This Row],[Precio Unitario]])</f>
        <v>1350</v>
      </c>
      <c r="M145" s="57">
        <f>IF(Productos[[#This Row],[Stock]]&lt;0,"",+Productos[[#This Row],[Total2]]-Productos[[#This Row],[Total]])</f>
        <v>144</v>
      </c>
    </row>
    <row r="146" spans="1:13" x14ac:dyDescent="0.25">
      <c r="A146" t="s">
        <v>633</v>
      </c>
      <c r="B146" t="s">
        <v>167</v>
      </c>
      <c r="C146" t="s">
        <v>55</v>
      </c>
      <c r="D146" t="s">
        <v>102</v>
      </c>
      <c r="E146">
        <f>4+(10/12)</f>
        <v>4.833333333333333</v>
      </c>
      <c r="F146">
        <f>+SUMIF(Compras[[#All],[Codigo de Producto]],Productos[[#All],[Codigo de Producto]],Compras[[#All],[Cantidad]])</f>
        <v>0</v>
      </c>
      <c r="G146">
        <f>+SUMIF(Ventas[[#All],[Codigo de Producto]],Productos[[#All],[Codigo de Producto]],Ventas[[#All],[Cantidad]])</f>
        <v>0</v>
      </c>
      <c r="H146">
        <f>+Productos[[#This Row],[Existencias Iniciales]]+Productos[[#This Row],[Entradas]]-Productos[[#This Row],[Salidas]]</f>
        <v>4.833333333333333</v>
      </c>
      <c r="I146">
        <v>268</v>
      </c>
      <c r="J146">
        <f>IF(Productos[[#This Row],[Stock]]&lt;0,"",+Productos[[#This Row],[Stock]]*Productos[[#This Row],[Costo Unitario]])</f>
        <v>1295.3333333333333</v>
      </c>
      <c r="K146">
        <v>300</v>
      </c>
      <c r="L146">
        <f>IF(Productos[[#This Row],[Stock]]&lt;0,"",+Productos[[#This Row],[Stock]]*Productos[[#This Row],[Precio Unitario]])</f>
        <v>1450</v>
      </c>
      <c r="M146">
        <f>IF(Productos[[#This Row],[Stock]]&lt;0,"",+Productos[[#This Row],[Total2]]-Productos[[#This Row],[Total]])</f>
        <v>154.66666666666674</v>
      </c>
    </row>
    <row r="147" spans="1:13" x14ac:dyDescent="0.25">
      <c r="A147" t="s">
        <v>672</v>
      </c>
      <c r="B147" t="s">
        <v>167</v>
      </c>
      <c r="C147" t="s">
        <v>55</v>
      </c>
      <c r="D147" t="s">
        <v>652</v>
      </c>
      <c r="E147">
        <v>5</v>
      </c>
      <c r="F147">
        <f>+SUMIF(Compras[[#All],[Codigo de Producto]],Productos[[#All],[Codigo de Producto]],Compras[[#All],[Cantidad]])</f>
        <v>0</v>
      </c>
      <c r="G147">
        <f>+SUMIF(Ventas[[#All],[Codigo de Producto]],Productos[[#All],[Codigo de Producto]],Ventas[[#All],[Cantidad]])</f>
        <v>0</v>
      </c>
      <c r="H147">
        <f>+Productos[[#This Row],[Existencias Iniciales]]+Productos[[#This Row],[Entradas]]-Productos[[#This Row],[Salidas]]</f>
        <v>5</v>
      </c>
      <c r="I147">
        <v>207</v>
      </c>
      <c r="J147">
        <f>IF(Productos[[#This Row],[Stock]]&lt;0,"",+Productos[[#This Row],[Stock]]*Productos[[#This Row],[Costo Unitario]])</f>
        <v>1035</v>
      </c>
      <c r="K147">
        <v>270</v>
      </c>
      <c r="L147">
        <f>IF(Productos[[#This Row],[Stock]]&lt;0,"",+Productos[[#This Row],[Stock]]*Productos[[#This Row],[Precio Unitario]])</f>
        <v>1350</v>
      </c>
      <c r="M147">
        <f>IF(Productos[[#This Row],[Stock]]&lt;0,"",+Productos[[#This Row],[Total2]]-Productos[[#This Row],[Total]])</f>
        <v>315</v>
      </c>
    </row>
    <row r="148" spans="1:13" x14ac:dyDescent="0.25">
      <c r="A148" t="s">
        <v>618</v>
      </c>
      <c r="B148" t="s">
        <v>167</v>
      </c>
      <c r="C148" t="s">
        <v>70</v>
      </c>
      <c r="D148" t="s">
        <v>227</v>
      </c>
      <c r="E148">
        <v>5</v>
      </c>
      <c r="F148">
        <f>+SUMIF(Compras[[#All],[Codigo de Producto]],Productos[[#All],[Codigo de Producto]],Compras[[#All],[Cantidad]])</f>
        <v>10</v>
      </c>
      <c r="G148">
        <f>+SUMIF(Ventas[[#All],[Codigo de Producto]],Productos[[#All],[Codigo de Producto]],Ventas[[#All],[Cantidad]])</f>
        <v>10</v>
      </c>
      <c r="H148">
        <f>+Productos[[#This Row],[Existencias Iniciales]]+Productos[[#This Row],[Entradas]]-Productos[[#This Row],[Salidas]]</f>
        <v>5</v>
      </c>
      <c r="I148">
        <v>1440</v>
      </c>
      <c r="J148">
        <f>IF(Productos[[#This Row],[Stock]]&lt;0,"",+Productos[[#This Row],[Stock]]*Productos[[#This Row],[Costo Unitario]])</f>
        <v>7200</v>
      </c>
      <c r="K148">
        <v>1650</v>
      </c>
      <c r="L148">
        <f>IF(Productos[[#This Row],[Stock]]&lt;0,"",+Productos[[#This Row],[Stock]]*Productos[[#This Row],[Precio Unitario]])</f>
        <v>8250</v>
      </c>
      <c r="M148">
        <f>IF(Productos[[#This Row],[Stock]]&lt;0,"",+Productos[[#This Row],[Total2]]-Productos[[#This Row],[Total]])</f>
        <v>1050</v>
      </c>
    </row>
    <row r="149" spans="1:13" x14ac:dyDescent="0.25">
      <c r="A149" t="s">
        <v>841</v>
      </c>
      <c r="B149" t="s">
        <v>198</v>
      </c>
      <c r="C149" t="s">
        <v>68</v>
      </c>
      <c r="D149" t="s">
        <v>780</v>
      </c>
      <c r="E149">
        <v>1</v>
      </c>
      <c r="F149" s="57">
        <f>+SUMIF(Compras[[#All],[Codigo de Producto]],Productos[[#All],[Codigo de Producto]],Compras[[#All],[Cantidad]])</f>
        <v>4</v>
      </c>
      <c r="G149" s="57">
        <f>+SUMIF(Ventas[[#All],[Codigo de Producto]],Productos[[#All],[Codigo de Producto]],Ventas[[#All],[Cantidad]])</f>
        <v>0</v>
      </c>
      <c r="H149" s="57">
        <f>+Productos[[#This Row],[Existencias Iniciales]]+Productos[[#This Row],[Entradas]]-Productos[[#This Row],[Salidas]]</f>
        <v>5</v>
      </c>
      <c r="I149">
        <f ca="1">+SUMIF(Compras[[#All],[Codigo de Producto]],Productos[[#All],[Codigo de Producto]],Compras[[#Headers],[Precio]])</f>
        <v>140</v>
      </c>
      <c r="J149" s="57">
        <f ca="1">IF(Productos[[#This Row],[Stock]]&lt;0,"",+Productos[[#This Row],[Stock]]*Productos[[#This Row],[Costo Unitario]])</f>
        <v>700</v>
      </c>
      <c r="K149">
        <v>190</v>
      </c>
      <c r="L149" s="57">
        <f>IF(Productos[[#This Row],[Stock]]&lt;0,"",+Productos[[#This Row],[Stock]]*Productos[[#This Row],[Precio Unitario]])</f>
        <v>950</v>
      </c>
      <c r="M149" s="57">
        <f ca="1">IF(Productos[[#This Row],[Stock]]&lt;0,"",+Productos[[#This Row],[Total2]]-Productos[[#This Row],[Total]])</f>
        <v>250</v>
      </c>
    </row>
    <row r="150" spans="1:13" x14ac:dyDescent="0.25">
      <c r="A150" t="s">
        <v>826</v>
      </c>
      <c r="B150" t="s">
        <v>166</v>
      </c>
      <c r="C150" t="s">
        <v>68</v>
      </c>
      <c r="D150" t="s">
        <v>813</v>
      </c>
      <c r="E150">
        <v>5</v>
      </c>
      <c r="F150" s="57">
        <f>+SUMIF(Compras[[#All],[Codigo de Producto]],Productos[[#All],[Codigo de Producto]],Compras[[#All],[Cantidad]])</f>
        <v>0</v>
      </c>
      <c r="G150" s="57">
        <f>+SUMIF(Ventas[[#All],[Codigo de Producto]],Productos[[#All],[Codigo de Producto]],Ventas[[#All],[Cantidad]])</f>
        <v>0</v>
      </c>
      <c r="H150" s="57">
        <f>+Productos[[#This Row],[Existencias Iniciales]]+Productos[[#This Row],[Entradas]]-Productos[[#This Row],[Salidas]]</f>
        <v>5</v>
      </c>
      <c r="I150">
        <f ca="1">+SUMIF(Compras[[#All],[Codigo de Producto]],Productos[[#All],[Codigo de Producto]],Compras[[#Headers],[Precio]])</f>
        <v>0</v>
      </c>
      <c r="J150" s="57">
        <f ca="1">IF(Productos[[#This Row],[Stock]]&lt;0,"",+Productos[[#This Row],[Stock]]*Productos[[#This Row],[Costo Unitario]])</f>
        <v>0</v>
      </c>
      <c r="K150">
        <v>215</v>
      </c>
      <c r="L150" s="57">
        <f>IF(Productos[[#This Row],[Stock]]&lt;0,"",+Productos[[#This Row],[Stock]]*Productos[[#This Row],[Precio Unitario]])</f>
        <v>1075</v>
      </c>
      <c r="M150" s="57">
        <f ca="1">IF(Productos[[#This Row],[Stock]]&lt;0,"",+Productos[[#This Row],[Total2]]-Productos[[#This Row],[Total]])</f>
        <v>1075</v>
      </c>
    </row>
    <row r="151" spans="1:13" x14ac:dyDescent="0.25">
      <c r="A151" t="s">
        <v>692</v>
      </c>
      <c r="B151" t="s">
        <v>163</v>
      </c>
      <c r="C151" t="s">
        <v>617</v>
      </c>
      <c r="D151" t="s">
        <v>95</v>
      </c>
      <c r="E151">
        <f>3*1.54+(10/9)</f>
        <v>5.7311111111111117</v>
      </c>
      <c r="F151">
        <f>+SUMIF(Compras[[#All],[Codigo de Producto]],Productos[[#All],[Codigo de Producto]],Compras[[#All],[Cantidad]])</f>
        <v>0</v>
      </c>
      <c r="G151">
        <f>+SUMIF(Ventas[[#All],[Codigo de Producto]],Productos[[#All],[Codigo de Producto]],Ventas[[#All],[Cantidad]])</f>
        <v>0</v>
      </c>
      <c r="H151">
        <f>+Productos[[#This Row],[Existencias Iniciales]]+Productos[[#This Row],[Entradas]]-Productos[[#This Row],[Salidas]]</f>
        <v>5.7311111111111117</v>
      </c>
      <c r="I151">
        <v>248</v>
      </c>
      <c r="J151">
        <f>IF(Productos[[#This Row],[Stock]]&lt;0,"",+Productos[[#This Row],[Stock]]*Productos[[#This Row],[Costo Unitario]])</f>
        <v>1421.3155555555556</v>
      </c>
      <c r="K151">
        <v>280</v>
      </c>
      <c r="L151">
        <f>IF(Productos[[#This Row],[Stock]]&lt;0,"",+Productos[[#This Row],[Stock]]*Productos[[#This Row],[Precio Unitario]])</f>
        <v>1604.7111111111112</v>
      </c>
      <c r="M151">
        <f>IF(Productos[[#This Row],[Stock]]&lt;0,"",+Productos[[#This Row],[Total2]]-Productos[[#This Row],[Total]])</f>
        <v>183.39555555555557</v>
      </c>
    </row>
    <row r="152" spans="1:13" x14ac:dyDescent="0.25">
      <c r="A152" t="s">
        <v>775</v>
      </c>
      <c r="B152" t="s">
        <v>395</v>
      </c>
      <c r="C152" t="s">
        <v>68</v>
      </c>
      <c r="D152" t="s">
        <v>766</v>
      </c>
      <c r="E152">
        <v>6</v>
      </c>
      <c r="F152" s="57">
        <f>+SUMIF(Compras[[#All],[Codigo de Producto]],Productos[[#All],[Codigo de Producto]],Compras[[#All],[Cantidad]])</f>
        <v>0</v>
      </c>
      <c r="G152" s="57">
        <f>+SUMIF(Ventas[[#All],[Codigo de Producto]],Productos[[#All],[Codigo de Producto]],Ventas[[#All],[Cantidad]])</f>
        <v>0</v>
      </c>
      <c r="H152" s="57">
        <f>+Productos[[#This Row],[Existencias Iniciales]]+Productos[[#This Row],[Entradas]]-Productos[[#This Row],[Salidas]]</f>
        <v>6</v>
      </c>
      <c r="I152">
        <f ca="1">+SUMIF(Compras[[#All],[Codigo de Producto]],Productos[[#All],[Codigo de Producto]],Compras[[#Headers],[Precio]])</f>
        <v>0</v>
      </c>
      <c r="J152" s="57">
        <f ca="1">IF(Productos[[#This Row],[Stock]]&lt;0,"",+Productos[[#This Row],[Stock]]*Productos[[#This Row],[Costo Unitario]])</f>
        <v>0</v>
      </c>
      <c r="K152">
        <v>100</v>
      </c>
      <c r="L152" s="57">
        <f>IF(Productos[[#This Row],[Stock]]&lt;0,"",+Productos[[#This Row],[Stock]]*Productos[[#This Row],[Precio Unitario]])</f>
        <v>600</v>
      </c>
      <c r="M152" s="57">
        <f ca="1">IF(Productos[[#This Row],[Stock]]&lt;0,"",+Productos[[#This Row],[Total2]]-Productos[[#This Row],[Total]])</f>
        <v>600</v>
      </c>
    </row>
    <row r="153" spans="1:13" x14ac:dyDescent="0.25">
      <c r="A153" t="s">
        <v>640</v>
      </c>
      <c r="B153" t="s">
        <v>167</v>
      </c>
      <c r="C153" t="s">
        <v>55</v>
      </c>
      <c r="D153" t="s">
        <v>89</v>
      </c>
      <c r="E153">
        <f>12*1.41+(9/17)</f>
        <v>17.449411764705882</v>
      </c>
      <c r="F153">
        <f>+SUMIF(Compras[[#All],[Codigo de Producto]],Productos[[#All],[Codigo de Producto]],Compras[[#All],[Cantidad]])</f>
        <v>0</v>
      </c>
      <c r="G153">
        <f>+SUMIF(Ventas[[#All],[Codigo de Producto]],Productos[[#All],[Codigo de Producto]],Ventas[[#All],[Cantidad]])</f>
        <v>11.439411764705882</v>
      </c>
      <c r="H153">
        <f>+Productos[[#This Row],[Existencias Iniciales]]+Productos[[#This Row],[Entradas]]-Productos[[#This Row],[Salidas]]</f>
        <v>6.01</v>
      </c>
      <c r="I153">
        <v>268</v>
      </c>
      <c r="J153">
        <f>IF(Productos[[#This Row],[Stock]]&lt;0,"",+Productos[[#This Row],[Stock]]*Productos[[#This Row],[Costo Unitario]])</f>
        <v>1610.6799999999998</v>
      </c>
      <c r="K153">
        <v>300</v>
      </c>
      <c r="L153">
        <f>IF(Productos[[#This Row],[Stock]]&lt;0,"",+Productos[[#This Row],[Stock]]*Productos[[#This Row],[Precio Unitario]])</f>
        <v>1803</v>
      </c>
      <c r="M153">
        <f>IF(Productos[[#This Row],[Stock]]&lt;0,"",+Productos[[#This Row],[Total2]]-Productos[[#This Row],[Total]])</f>
        <v>192.32000000000016</v>
      </c>
    </row>
    <row r="154" spans="1:13" x14ac:dyDescent="0.25">
      <c r="A154" t="s">
        <v>695</v>
      </c>
      <c r="B154" t="s">
        <v>167</v>
      </c>
      <c r="C154" t="s">
        <v>617</v>
      </c>
      <c r="D154" t="s">
        <v>312</v>
      </c>
      <c r="E154">
        <f>5*1.33+(4/9)</f>
        <v>7.094444444444445</v>
      </c>
      <c r="F154">
        <f>+SUMIF(Compras[[#All],[Codigo de Producto]],Productos[[#All],[Codigo de Producto]],Compras[[#All],[Cantidad]])</f>
        <v>0</v>
      </c>
      <c r="G154">
        <f>+SUMIF(Ventas[[#All],[Codigo de Producto]],Productos[[#All],[Codigo de Producto]],Ventas[[#All],[Cantidad]])</f>
        <v>1</v>
      </c>
      <c r="H154">
        <f>+Productos[[#This Row],[Existencias Iniciales]]+Productos[[#This Row],[Entradas]]-Productos[[#This Row],[Salidas]]</f>
        <v>6.094444444444445</v>
      </c>
      <c r="I154">
        <v>268</v>
      </c>
      <c r="J154">
        <f>IF(Productos[[#This Row],[Stock]]&lt;0,"",+Productos[[#This Row],[Stock]]*Productos[[#This Row],[Costo Unitario]])</f>
        <v>1633.3111111111114</v>
      </c>
      <c r="K154">
        <v>300</v>
      </c>
      <c r="L154">
        <f>IF(Productos[[#This Row],[Stock]]&lt;0,"",+Productos[[#This Row],[Stock]]*Productos[[#This Row],[Precio Unitario]])</f>
        <v>1828.3333333333335</v>
      </c>
      <c r="M154">
        <f>IF(Productos[[#This Row],[Stock]]&lt;0,"",+Productos[[#This Row],[Total2]]-Productos[[#This Row],[Total]])</f>
        <v>195.02222222222213</v>
      </c>
    </row>
    <row r="155" spans="1:13" x14ac:dyDescent="0.25">
      <c r="A155" t="s">
        <v>696</v>
      </c>
      <c r="B155" t="s">
        <v>163</v>
      </c>
      <c r="C155" t="s">
        <v>617</v>
      </c>
      <c r="D155" t="s">
        <v>80</v>
      </c>
      <c r="E155">
        <f>24*2.31+(6/10*2.31)</f>
        <v>56.826000000000001</v>
      </c>
      <c r="F155">
        <f>+SUMIF(Compras[[#All],[Codigo de Producto]],Productos[[#All],[Codigo de Producto]],Compras[[#All],[Cantidad]])</f>
        <v>92</v>
      </c>
      <c r="G155">
        <f>+SUMIF(Ventas[[#All],[Codigo de Producto]],Productos[[#All],[Codigo de Producto]],Ventas[[#All],[Cantidad]])</f>
        <v>142.452</v>
      </c>
      <c r="H155">
        <f>+Productos[[#This Row],[Existencias Iniciales]]+Productos[[#This Row],[Entradas]]-Productos[[#This Row],[Salidas]]</f>
        <v>6.3739999999999952</v>
      </c>
      <c r="I155">
        <v>236</v>
      </c>
      <c r="J155">
        <f>IF(Productos[[#This Row],[Stock]]&lt;0,"",+Productos[[#This Row],[Stock]]*Productos[[#This Row],[Costo Unitario]])</f>
        <v>1504.2639999999988</v>
      </c>
      <c r="K155">
        <v>280</v>
      </c>
      <c r="L155">
        <f>IF(Productos[[#This Row],[Stock]]&lt;0,"",+Productos[[#This Row],[Stock]]*Productos[[#This Row],[Precio Unitario]])</f>
        <v>1784.7199999999987</v>
      </c>
      <c r="M155">
        <f>IF(Productos[[#This Row],[Stock]]&lt;0,"",+Productos[[#This Row],[Total2]]-Productos[[#This Row],[Total]])</f>
        <v>280.4559999999999</v>
      </c>
    </row>
    <row r="156" spans="1:13" x14ac:dyDescent="0.25">
      <c r="A156" t="s">
        <v>661</v>
      </c>
      <c r="B156" t="s">
        <v>167</v>
      </c>
      <c r="C156" t="s">
        <v>617</v>
      </c>
      <c r="D156" t="s">
        <v>493</v>
      </c>
      <c r="E156">
        <f>2*1.33+1</f>
        <v>3.66</v>
      </c>
      <c r="F156">
        <f>+SUMIF(Compras[[#All],[Codigo de Producto]],Productos[[#All],[Codigo de Producto]],Compras[[#All],[Cantidad]])</f>
        <v>5.32</v>
      </c>
      <c r="G156">
        <f>+SUMIF(Ventas[[#All],[Codigo de Producto]],Productos[[#All],[Codigo de Producto]],Ventas[[#All],[Cantidad]])</f>
        <v>2</v>
      </c>
      <c r="H156">
        <f>+Productos[[#This Row],[Existencias Iniciales]]+Productos[[#This Row],[Entradas]]-Productos[[#This Row],[Salidas]]</f>
        <v>6.98</v>
      </c>
      <c r="I156">
        <v>268</v>
      </c>
      <c r="J156">
        <f>IF(Productos[[#This Row],[Stock]]&lt;0,"",+Productos[[#This Row],[Stock]]*Productos[[#This Row],[Costo Unitario]])</f>
        <v>1870.64</v>
      </c>
      <c r="K156">
        <v>300</v>
      </c>
      <c r="L156">
        <f>IF(Productos[[#This Row],[Stock]]&lt;0,"",+Productos[[#This Row],[Stock]]*Productos[[#This Row],[Precio Unitario]])</f>
        <v>2094</v>
      </c>
      <c r="M156">
        <f>IF(Productos[[#This Row],[Stock]]&lt;0,"",+Productos[[#This Row],[Total2]]-Productos[[#This Row],[Total]])</f>
        <v>223.3599999999999</v>
      </c>
    </row>
    <row r="157" spans="1:13" x14ac:dyDescent="0.25">
      <c r="A157" t="s">
        <v>755</v>
      </c>
      <c r="B157" t="s">
        <v>166</v>
      </c>
      <c r="C157" t="s">
        <v>23</v>
      </c>
      <c r="D157" t="s">
        <v>751</v>
      </c>
      <c r="E157">
        <v>7</v>
      </c>
      <c r="F157" s="57">
        <f>+SUMIF(Compras[[#All],[Codigo de Producto]],Productos[[#All],[Codigo de Producto]],Compras[[#All],[Cantidad]])</f>
        <v>0</v>
      </c>
      <c r="G157" s="57">
        <f>+SUMIF(Ventas[[#All],[Codigo de Producto]],Productos[[#All],[Codigo de Producto]],Ventas[[#All],[Cantidad]])</f>
        <v>0</v>
      </c>
      <c r="H157" s="57">
        <f>+Productos[[#This Row],[Existencias Iniciales]]+Productos[[#This Row],[Entradas]]-Productos[[#This Row],[Salidas]]</f>
        <v>7</v>
      </c>
      <c r="I157">
        <f ca="1">+SUMIF(Compras[[#All],[Codigo de Producto]],Productos[[#All],[Codigo de Producto]],Compras[[#Headers],[Precio]])</f>
        <v>0</v>
      </c>
      <c r="J157" s="57">
        <f ca="1">IF(Productos[[#This Row],[Stock]]&lt;0,"",+Productos[[#This Row],[Stock]]*Productos[[#This Row],[Costo Unitario]])</f>
        <v>0</v>
      </c>
      <c r="K157">
        <v>210</v>
      </c>
      <c r="L157" s="57">
        <f>IF(Productos[[#This Row],[Stock]]&lt;0,"",+Productos[[#This Row],[Stock]]*Productos[[#This Row],[Precio Unitario]])</f>
        <v>1470</v>
      </c>
      <c r="M157" s="57">
        <f ca="1">IF(Productos[[#This Row],[Stock]]&lt;0,"",+Productos[[#This Row],[Total2]]-Productos[[#This Row],[Total]])</f>
        <v>1470</v>
      </c>
    </row>
    <row r="158" spans="1:13" x14ac:dyDescent="0.25">
      <c r="A158" t="s">
        <v>831</v>
      </c>
      <c r="B158" t="s">
        <v>198</v>
      </c>
      <c r="C158" t="s">
        <v>85</v>
      </c>
      <c r="D158" t="s">
        <v>818</v>
      </c>
      <c r="E158">
        <v>7</v>
      </c>
      <c r="F158" s="57">
        <f>+SUMIF(Compras[[#All],[Codigo de Producto]],Productos[[#All],[Codigo de Producto]],Compras[[#All],[Cantidad]])</f>
        <v>0</v>
      </c>
      <c r="G158" s="57">
        <f>+SUMIF(Ventas[[#All],[Codigo de Producto]],Productos[[#All],[Codigo de Producto]],Ventas[[#All],[Cantidad]])</f>
        <v>0</v>
      </c>
      <c r="H158" s="57">
        <f>+Productos[[#This Row],[Existencias Iniciales]]+Productos[[#This Row],[Entradas]]-Productos[[#This Row],[Salidas]]</f>
        <v>7</v>
      </c>
      <c r="I158">
        <f ca="1">+SUMIF(Compras[[#All],[Codigo de Producto]],Productos[[#All],[Codigo de Producto]],Compras[[#Headers],[Precio]])</f>
        <v>0</v>
      </c>
      <c r="J158" s="57">
        <f ca="1">IF(Productos[[#This Row],[Stock]]&lt;0,"",+Productos[[#This Row],[Stock]]*Productos[[#This Row],[Costo Unitario]])</f>
        <v>0</v>
      </c>
      <c r="K158">
        <v>90</v>
      </c>
      <c r="L158" s="57">
        <f>IF(Productos[[#This Row],[Stock]]&lt;0,"",+Productos[[#This Row],[Stock]]*Productos[[#This Row],[Precio Unitario]])</f>
        <v>630</v>
      </c>
      <c r="M158" s="57">
        <f ca="1">IF(Productos[[#This Row],[Stock]]&lt;0,"",+Productos[[#This Row],[Total2]]-Productos[[#This Row],[Total]])</f>
        <v>630</v>
      </c>
    </row>
    <row r="159" spans="1:13" x14ac:dyDescent="0.25">
      <c r="A159" t="s">
        <v>867</v>
      </c>
      <c r="B159" t="s">
        <v>166</v>
      </c>
      <c r="C159" t="s">
        <v>92</v>
      </c>
      <c r="D159" t="s">
        <v>136</v>
      </c>
      <c r="E159">
        <v>9</v>
      </c>
      <c r="F159" s="57">
        <f>+SUMIF(Compras[[#All],[Codigo de Producto]],Productos[[#All],[Codigo de Producto]],Compras[[#All],[Cantidad]])</f>
        <v>0</v>
      </c>
      <c r="G159" s="57">
        <f>+SUMIF(Ventas[[#All],[Codigo de Producto]],Productos[[#All],[Codigo de Producto]],Ventas[[#All],[Cantidad]])</f>
        <v>2</v>
      </c>
      <c r="H159" s="57">
        <f>+Productos[[#This Row],[Existencias Iniciales]]+Productos[[#This Row],[Entradas]]-Productos[[#This Row],[Salidas]]</f>
        <v>7</v>
      </c>
      <c r="I159">
        <v>190</v>
      </c>
      <c r="J159" s="57">
        <f>IF(Productos[[#This Row],[Stock]]&lt;0,"",+Productos[[#This Row],[Stock]]*Productos[[#This Row],[Costo Unitario]])</f>
        <v>1330</v>
      </c>
      <c r="K159">
        <v>280</v>
      </c>
      <c r="L159" s="57">
        <f>IF(Productos[[#This Row],[Stock]]&lt;0,"",+Productos[[#This Row],[Stock]]*Productos[[#This Row],[Precio Unitario]])</f>
        <v>1960</v>
      </c>
      <c r="M159" s="57">
        <f>IF(Productos[[#This Row],[Stock]]&lt;0,"",+Productos[[#This Row],[Total2]]-Productos[[#This Row],[Total]])</f>
        <v>630</v>
      </c>
    </row>
    <row r="160" spans="1:13" x14ac:dyDescent="0.25">
      <c r="A160" t="s">
        <v>869</v>
      </c>
      <c r="B160" t="s">
        <v>163</v>
      </c>
      <c r="C160" t="s">
        <v>617</v>
      </c>
      <c r="D160" t="s">
        <v>153</v>
      </c>
      <c r="F160" s="57">
        <f>+SUMIF(Compras[[#All],[Codigo de Producto]],Productos[[#All],[Codigo de Producto]],Compras[[#All],[Cantidad]])</f>
        <v>10</v>
      </c>
      <c r="G160" s="57">
        <f>+SUMIF(Ventas[[#All],[Codigo de Producto]],Productos[[#All],[Codigo de Producto]],Ventas[[#All],[Cantidad]])</f>
        <v>3</v>
      </c>
      <c r="H160" s="57">
        <f>+Productos[[#This Row],[Existencias Iniciales]]+Productos[[#This Row],[Entradas]]-Productos[[#This Row],[Salidas]]</f>
        <v>7</v>
      </c>
      <c r="I160">
        <f ca="1">+SUMIF(Compras[[#All],[Codigo de Producto]],Productos[[#All],[Codigo de Producto]],Compras[[#Headers],[Precio]])</f>
        <v>248</v>
      </c>
      <c r="J160" s="57">
        <f ca="1">IF(Productos[[#This Row],[Stock]]&lt;0,"",+Productos[[#This Row],[Stock]]*Productos[[#This Row],[Costo Unitario]])</f>
        <v>1736</v>
      </c>
      <c r="K160">
        <v>300</v>
      </c>
      <c r="L160" s="57">
        <f>IF(Productos[[#This Row],[Stock]]&lt;0,"",+Productos[[#This Row],[Stock]]*Productos[[#This Row],[Precio Unitario]])</f>
        <v>2100</v>
      </c>
      <c r="M160" s="57">
        <f ca="1">IF(Productos[[#This Row],[Stock]]&lt;0,"",+Productos[[#This Row],[Total2]]-Productos[[#This Row],[Total]])</f>
        <v>364</v>
      </c>
    </row>
    <row r="161" spans="1:13" x14ac:dyDescent="0.25">
      <c r="A161" t="s">
        <v>737</v>
      </c>
      <c r="B161" t="s">
        <v>167</v>
      </c>
      <c r="C161" t="s">
        <v>55</v>
      </c>
      <c r="D161" t="s">
        <v>741</v>
      </c>
      <c r="F161" s="57">
        <f>+SUMIF(Compras[[#All],[Codigo de Producto]],Productos[[#All],[Codigo de Producto]],Compras[[#All],[Cantidad]])</f>
        <v>7.08</v>
      </c>
      <c r="G161" s="57">
        <f>+SUMIF(Ventas[[#All],[Codigo de Producto]],Productos[[#All],[Codigo de Producto]],Ventas[[#All],[Cantidad]])</f>
        <v>0</v>
      </c>
      <c r="H161" s="57">
        <f>+Productos[[#This Row],[Existencias Iniciales]]+Productos[[#This Row],[Entradas]]-Productos[[#This Row],[Salidas]]</f>
        <v>7.08</v>
      </c>
      <c r="I161">
        <v>268</v>
      </c>
      <c r="J161">
        <f>IF(Productos[[#This Row],[Stock]]&lt;0,"",+Productos[[#This Row],[Stock]]*Productos[[#This Row],[Costo Unitario]])</f>
        <v>1897.44</v>
      </c>
      <c r="K161">
        <v>300</v>
      </c>
      <c r="L161" s="57">
        <f>IF(Productos[[#This Row],[Stock]]&lt;0,"",+Productos[[#This Row],[Stock]]*Productos[[#This Row],[Precio Unitario]])</f>
        <v>2124</v>
      </c>
      <c r="M161" s="57">
        <f>IF(Productos[[#This Row],[Stock]]&lt;0,"",+Productos[[#This Row],[Total2]]-Productos[[#This Row],[Total]])</f>
        <v>226.55999999999995</v>
      </c>
    </row>
    <row r="162" spans="1:13" x14ac:dyDescent="0.25">
      <c r="A162" t="s">
        <v>670</v>
      </c>
      <c r="B162" t="s">
        <v>167</v>
      </c>
      <c r="C162" t="s">
        <v>55</v>
      </c>
      <c r="D162" t="s">
        <v>146</v>
      </c>
      <c r="E162">
        <f>5*1.41+(2/17)</f>
        <v>7.1676470588235288</v>
      </c>
      <c r="F162">
        <f>+SUMIF(Compras[[#All],[Codigo de Producto]],Productos[[#All],[Codigo de Producto]],Compras[[#All],[Cantidad]])</f>
        <v>0</v>
      </c>
      <c r="G162">
        <f>+SUMIF(Ventas[[#All],[Codigo de Producto]],Productos[[#All],[Codigo de Producto]],Ventas[[#All],[Cantidad]])</f>
        <v>0</v>
      </c>
      <c r="H162">
        <f>+Productos[[#This Row],[Existencias Iniciales]]+Productos[[#This Row],[Entradas]]-Productos[[#This Row],[Salidas]]</f>
        <v>7.1676470588235288</v>
      </c>
      <c r="I162">
        <v>268</v>
      </c>
      <c r="J162">
        <f>IF(Productos[[#This Row],[Stock]]&lt;0,"",+Productos[[#This Row],[Stock]]*Productos[[#This Row],[Costo Unitario]])</f>
        <v>1920.9294117647057</v>
      </c>
      <c r="K162">
        <v>300</v>
      </c>
      <c r="L162">
        <f>IF(Productos[[#This Row],[Stock]]&lt;0,"",+Productos[[#This Row],[Stock]]*Productos[[#This Row],[Precio Unitario]])</f>
        <v>2150.2941176470586</v>
      </c>
      <c r="M162">
        <f>IF(Productos[[#This Row],[Stock]]&lt;0,"",+Productos[[#This Row],[Total2]]-Productos[[#This Row],[Total]])</f>
        <v>229.36470588235284</v>
      </c>
    </row>
    <row r="163" spans="1:13" x14ac:dyDescent="0.25">
      <c r="A163" t="s">
        <v>700</v>
      </c>
      <c r="B163" t="s">
        <v>163</v>
      </c>
      <c r="C163" t="s">
        <v>617</v>
      </c>
      <c r="D163" t="s">
        <v>504</v>
      </c>
      <c r="E163">
        <f>3*2.31+(3/10*2.31)</f>
        <v>7.6229999999999993</v>
      </c>
      <c r="F163">
        <f>+SUMIF(Compras[[#All],[Codigo de Producto]],Productos[[#All],[Codigo de Producto]],Compras[[#All],[Cantidad]])</f>
        <v>0</v>
      </c>
      <c r="G163">
        <f>+SUMIF(Ventas[[#All],[Codigo de Producto]],Productos[[#All],[Codigo de Producto]],Ventas[[#All],[Cantidad]])</f>
        <v>0</v>
      </c>
      <c r="H163">
        <f>+Productos[[#This Row],[Existencias Iniciales]]+Productos[[#This Row],[Entradas]]-Productos[[#This Row],[Salidas]]</f>
        <v>7.6229999999999993</v>
      </c>
      <c r="I163">
        <v>248</v>
      </c>
      <c r="J163">
        <f>IF(Productos[[#This Row],[Stock]]&lt;0,"",+Productos[[#This Row],[Stock]]*Productos[[#This Row],[Costo Unitario]])</f>
        <v>1890.5039999999999</v>
      </c>
      <c r="K163">
        <v>280</v>
      </c>
      <c r="L163">
        <f>IF(Productos[[#This Row],[Stock]]&lt;0,"",+Productos[[#This Row],[Stock]]*Productos[[#This Row],[Precio Unitario]])</f>
        <v>2134.4399999999996</v>
      </c>
      <c r="M163">
        <f>IF(Productos[[#This Row],[Stock]]&lt;0,"",+Productos[[#This Row],[Total2]]-Productos[[#This Row],[Total]])</f>
        <v>243.93599999999969</v>
      </c>
    </row>
    <row r="164" spans="1:13" x14ac:dyDescent="0.25">
      <c r="A164" t="s">
        <v>628</v>
      </c>
      <c r="B164" t="s">
        <v>167</v>
      </c>
      <c r="C164" t="s">
        <v>55</v>
      </c>
      <c r="D164" t="s">
        <v>589</v>
      </c>
      <c r="E164">
        <v>7.8330000000000002</v>
      </c>
      <c r="F164">
        <f>+SUMIF(Compras[[#All],[Codigo de Producto]],Productos[[#All],[Codigo de Producto]],Compras[[#All],[Cantidad]])</f>
        <v>0</v>
      </c>
      <c r="G164">
        <f>+SUMIF(Ventas[[#All],[Codigo de Producto]],Productos[[#All],[Codigo de Producto]],Ventas[[#All],[Cantidad]])</f>
        <v>0</v>
      </c>
      <c r="H164">
        <f>+Productos[[#This Row],[Existencias Iniciales]]+Productos[[#This Row],[Entradas]]-Productos[[#This Row],[Salidas]]</f>
        <v>7.8330000000000002</v>
      </c>
      <c r="I164">
        <v>268</v>
      </c>
      <c r="J164">
        <f>IF(Productos[[#This Row],[Stock]]&lt;0,"",+Productos[[#This Row],[Stock]]*Productos[[#This Row],[Costo Unitario]])</f>
        <v>2099.2440000000001</v>
      </c>
      <c r="K164">
        <v>300</v>
      </c>
      <c r="L164">
        <f>IF(Productos[[#This Row],[Stock]]&lt;0,"",+Productos[[#This Row],[Stock]]*Productos[[#This Row],[Precio Unitario]])</f>
        <v>2349.9</v>
      </c>
      <c r="M164">
        <f>IF(Productos[[#This Row],[Stock]]&lt;0,"",+Productos[[#This Row],[Total2]]-Productos[[#This Row],[Total]])</f>
        <v>250.65599999999995</v>
      </c>
    </row>
    <row r="165" spans="1:13" x14ac:dyDescent="0.25">
      <c r="A165" t="s">
        <v>626</v>
      </c>
      <c r="B165" t="s">
        <v>167</v>
      </c>
      <c r="C165" t="s">
        <v>55</v>
      </c>
      <c r="D165" t="s">
        <v>587</v>
      </c>
      <c r="E165">
        <f>2*1.41+(14/17)</f>
        <v>3.6435294117647059</v>
      </c>
      <c r="F165">
        <f>+SUMIF(Compras[[#All],[Codigo de Producto]],Productos[[#All],[Codigo de Producto]],Compras[[#All],[Cantidad]])</f>
        <v>4.2480000000000002</v>
      </c>
      <c r="G165">
        <f>+SUMIF(Ventas[[#All],[Codigo de Producto]],Productos[[#All],[Codigo de Producto]],Ventas[[#All],[Cantidad]])</f>
        <v>0</v>
      </c>
      <c r="H165">
        <f>+Productos[[#This Row],[Existencias Iniciales]]+Productos[[#This Row],[Entradas]]-Productos[[#This Row],[Salidas]]</f>
        <v>7.8915294117647061</v>
      </c>
      <c r="I165">
        <v>268</v>
      </c>
      <c r="J165">
        <f>IF(Productos[[#This Row],[Stock]]&lt;0,"",+Productos[[#This Row],[Stock]]*Productos[[#This Row],[Costo Unitario]])</f>
        <v>2114.9298823529411</v>
      </c>
      <c r="K165">
        <v>300</v>
      </c>
      <c r="L165">
        <f>IF(Productos[[#This Row],[Stock]]&lt;0,"",+Productos[[#This Row],[Stock]]*Productos[[#This Row],[Precio Unitario]])</f>
        <v>2367.4588235294118</v>
      </c>
      <c r="M165">
        <f>IF(Productos[[#This Row],[Stock]]&lt;0,"",+Productos[[#This Row],[Total2]]-Productos[[#This Row],[Total]])</f>
        <v>252.52894117647065</v>
      </c>
    </row>
    <row r="166" spans="1:13" x14ac:dyDescent="0.25">
      <c r="A166" t="s">
        <v>902</v>
      </c>
      <c r="B166" t="s">
        <v>862</v>
      </c>
      <c r="C166" t="s">
        <v>23</v>
      </c>
      <c r="D166" t="s">
        <v>215</v>
      </c>
      <c r="E166">
        <v>10</v>
      </c>
      <c r="F166" s="57">
        <f>+SUMIF(Compras[[#All],[Codigo de Producto]],Productos[[#All],[Codigo de Producto]],Compras[[#All],[Cantidad]])</f>
        <v>0</v>
      </c>
      <c r="G166" s="57">
        <f>+SUMIF(Ventas[[#All],[Codigo de Producto]],Productos[[#All],[Codigo de Producto]],Ventas[[#All],[Cantidad]])</f>
        <v>2</v>
      </c>
      <c r="H166" s="57">
        <f>+Productos[[#This Row],[Existencias Iniciales]]+Productos[[#This Row],[Entradas]]-Productos[[#This Row],[Salidas]]</f>
        <v>8</v>
      </c>
      <c r="I166">
        <v>25</v>
      </c>
      <c r="J166" s="57">
        <f>IF(Productos[[#This Row],[Stock]]&lt;0,"",+Productos[[#This Row],[Stock]]*Productos[[#This Row],[Costo Unitario]])</f>
        <v>200</v>
      </c>
      <c r="K166">
        <v>35</v>
      </c>
      <c r="L166" s="57">
        <f>IF(Productos[[#This Row],[Stock]]&lt;0,"",+Productos[[#This Row],[Stock]]*Productos[[#This Row],[Precio Unitario]])</f>
        <v>280</v>
      </c>
      <c r="M166" s="57">
        <f>IF(Productos[[#This Row],[Stock]]&lt;0,"",+Productos[[#This Row],[Total2]]-Productos[[#This Row],[Total]])</f>
        <v>80</v>
      </c>
    </row>
    <row r="167" spans="1:13" x14ac:dyDescent="0.25">
      <c r="A167" t="s">
        <v>722</v>
      </c>
      <c r="B167" t="s">
        <v>198</v>
      </c>
      <c r="C167" t="s">
        <v>44</v>
      </c>
      <c r="D167" t="s">
        <v>726</v>
      </c>
      <c r="E167">
        <v>18</v>
      </c>
      <c r="F167" s="57">
        <f>+SUMIF(Compras[[#All],[Codigo de Producto]],Productos[[#All],[Codigo de Producto]],Compras[[#All],[Cantidad]])</f>
        <v>0</v>
      </c>
      <c r="G167" s="57">
        <f>+SUMIF(Ventas[[#All],[Codigo de Producto]],Productos[[#All],[Codigo de Producto]],Ventas[[#All],[Cantidad]])</f>
        <v>10</v>
      </c>
      <c r="H167" s="57">
        <f>+Productos[[#This Row],[Existencias Iniciales]]+Productos[[#This Row],[Entradas]]-Productos[[#This Row],[Salidas]]</f>
        <v>8</v>
      </c>
      <c r="I167">
        <v>22</v>
      </c>
      <c r="J167">
        <f>IF(Productos[[#This Row],[Stock]]&lt;0,"",+Productos[[#This Row],[Stock]]*Productos[[#This Row],[Costo Unitario]])</f>
        <v>176</v>
      </c>
      <c r="K167">
        <v>35</v>
      </c>
      <c r="L167" s="57">
        <f>IF(Productos[[#This Row],[Stock]]&lt;0,"",+Productos[[#This Row],[Stock]]*Productos[[#This Row],[Precio Unitario]])</f>
        <v>280</v>
      </c>
      <c r="M167" s="57">
        <f>IF(Productos[[#This Row],[Stock]]&lt;0,"",+Productos[[#This Row],[Total2]]-Productos[[#This Row],[Total]])</f>
        <v>104</v>
      </c>
    </row>
    <row r="168" spans="1:13" x14ac:dyDescent="0.25">
      <c r="A168" t="s">
        <v>893</v>
      </c>
      <c r="B168" t="s">
        <v>167</v>
      </c>
      <c r="C168" t="s">
        <v>617</v>
      </c>
      <c r="D168" t="s">
        <v>894</v>
      </c>
      <c r="F168" s="57">
        <f>+SUMIF(Compras[[#All],[Codigo de Producto]],Productos[[#All],[Codigo de Producto]],Compras[[#All],[Cantidad]])</f>
        <v>40</v>
      </c>
      <c r="G168" s="57">
        <f>+SUMIF(Ventas[[#All],[Codigo de Producto]],Productos[[#All],[Codigo de Producto]],Ventas[[#All],[Cantidad]])</f>
        <v>31.990000000000002</v>
      </c>
      <c r="H168" s="57">
        <f>+Productos[[#This Row],[Existencias Iniciales]]+Productos[[#This Row],[Entradas]]-Productos[[#This Row],[Salidas]]</f>
        <v>8.009999999999998</v>
      </c>
      <c r="I168">
        <f ca="1">+SUMIF(Compras[[#All],[Codigo de Producto]],Productos[[#All],[Codigo de Producto]],Compras[[#Headers],[Precio]])</f>
        <v>268</v>
      </c>
      <c r="J168" s="57">
        <f ca="1">IF(Productos[[#This Row],[Stock]]&lt;0,"",+Productos[[#This Row],[Stock]]*Productos[[#This Row],[Costo Unitario]])</f>
        <v>2146.6799999999994</v>
      </c>
      <c r="K168">
        <v>240</v>
      </c>
      <c r="L168" s="57">
        <f>IF(Productos[[#This Row],[Stock]]&lt;0,"",+Productos[[#This Row],[Stock]]*Productos[[#This Row],[Precio Unitario]])</f>
        <v>1922.3999999999996</v>
      </c>
      <c r="M168" s="57">
        <f ca="1">IF(Productos[[#This Row],[Stock]]&lt;0,"",+Productos[[#This Row],[Total2]]-Productos[[#This Row],[Total]])</f>
        <v>-224.27999999999975</v>
      </c>
    </row>
    <row r="169" spans="1:13" x14ac:dyDescent="0.25">
      <c r="A169" t="s">
        <v>851</v>
      </c>
      <c r="B169" t="s">
        <v>166</v>
      </c>
      <c r="C169" t="s">
        <v>92</v>
      </c>
      <c r="D169" t="s">
        <v>854</v>
      </c>
      <c r="E169">
        <v>10</v>
      </c>
      <c r="F169" s="57">
        <f>+SUMIF(Compras[[#All],[Codigo de Producto]],Productos[[#All],[Codigo de Producto]],Compras[[#All],[Cantidad]])</f>
        <v>0</v>
      </c>
      <c r="G169" s="57">
        <f>+SUMIF(Ventas[[#All],[Codigo de Producto]],Productos[[#All],[Codigo de Producto]],Ventas[[#All],[Cantidad]])</f>
        <v>1</v>
      </c>
      <c r="H169" s="57">
        <f>+Productos[[#This Row],[Existencias Iniciales]]+Productos[[#This Row],[Entradas]]-Productos[[#This Row],[Salidas]]</f>
        <v>9</v>
      </c>
      <c r="I169">
        <v>100</v>
      </c>
      <c r="J169" s="57">
        <f>IF(Productos[[#This Row],[Stock]]&lt;0,"",+Productos[[#This Row],[Stock]]*Productos[[#This Row],[Costo Unitario]])</f>
        <v>900</v>
      </c>
      <c r="K169">
        <v>155</v>
      </c>
      <c r="L169" s="57">
        <f>IF(Productos[[#This Row],[Stock]]&lt;0,"",+Productos[[#This Row],[Stock]]*Productos[[#This Row],[Precio Unitario]])</f>
        <v>1395</v>
      </c>
      <c r="M169" s="57">
        <f>IF(Productos[[#This Row],[Stock]]&lt;0,"",+Productos[[#This Row],[Total2]]-Productos[[#This Row],[Total]])</f>
        <v>495</v>
      </c>
    </row>
    <row r="170" spans="1:13" x14ac:dyDescent="0.25">
      <c r="A170" t="s">
        <v>752</v>
      </c>
      <c r="B170" t="s">
        <v>166</v>
      </c>
      <c r="C170" t="s">
        <v>23</v>
      </c>
      <c r="D170" t="s">
        <v>750</v>
      </c>
      <c r="E170">
        <v>11</v>
      </c>
      <c r="F170" s="57">
        <f>+SUMIF(Compras[[#All],[Codigo de Producto]],Productos[[#All],[Codigo de Producto]],Compras[[#All],[Cantidad]])</f>
        <v>0</v>
      </c>
      <c r="G170" s="57">
        <f>+SUMIF(Ventas[[#All],[Codigo de Producto]],Productos[[#All],[Codigo de Producto]],Ventas[[#All],[Cantidad]])</f>
        <v>0</v>
      </c>
      <c r="H170" s="57">
        <f>+Productos[[#This Row],[Existencias Iniciales]]+Productos[[#This Row],[Entradas]]-Productos[[#This Row],[Salidas]]</f>
        <v>11</v>
      </c>
      <c r="I170">
        <v>50</v>
      </c>
      <c r="J170" s="57">
        <f>IF(Productos[[#This Row],[Stock]]&lt;0,"",+Productos[[#This Row],[Stock]]*Productos[[#This Row],[Costo Unitario]])</f>
        <v>550</v>
      </c>
      <c r="K170">
        <v>80</v>
      </c>
      <c r="L170" s="57">
        <f>IF(Productos[[#This Row],[Stock]]&lt;0,"",+Productos[[#This Row],[Stock]]*Productos[[#This Row],[Precio Unitario]])</f>
        <v>880</v>
      </c>
      <c r="M170" s="57">
        <f>IF(Productos[[#This Row],[Stock]]&lt;0,"",+Productos[[#This Row],[Total2]]-Productos[[#This Row],[Total]])</f>
        <v>330</v>
      </c>
    </row>
    <row r="171" spans="1:13" x14ac:dyDescent="0.25">
      <c r="A171" t="s">
        <v>754</v>
      </c>
      <c r="B171" t="s">
        <v>166</v>
      </c>
      <c r="C171" t="s">
        <v>23</v>
      </c>
      <c r="D171" t="s">
        <v>758</v>
      </c>
      <c r="E171">
        <v>12</v>
      </c>
      <c r="F171" s="57">
        <f>+SUMIF(Compras[[#All],[Codigo de Producto]],Productos[[#All],[Codigo de Producto]],Compras[[#All],[Cantidad]])</f>
        <v>0</v>
      </c>
      <c r="G171" s="57">
        <f>+SUMIF(Ventas[[#All],[Codigo de Producto]],Productos[[#All],[Codigo de Producto]],Ventas[[#All],[Cantidad]])</f>
        <v>0</v>
      </c>
      <c r="H171" s="57">
        <f>+Productos[[#This Row],[Existencias Iniciales]]+Productos[[#This Row],[Entradas]]-Productos[[#This Row],[Salidas]]</f>
        <v>12</v>
      </c>
      <c r="I171">
        <v>30</v>
      </c>
      <c r="J171" s="57">
        <f>IF(Productos[[#This Row],[Stock]]&lt;0,"",+Productos[[#This Row],[Stock]]*Productos[[#This Row],[Costo Unitario]])</f>
        <v>360</v>
      </c>
      <c r="K171">
        <v>40</v>
      </c>
      <c r="L171" s="57">
        <f>IF(Productos[[#This Row],[Stock]]&lt;0,"",+Productos[[#This Row],[Stock]]*Productos[[#This Row],[Precio Unitario]])</f>
        <v>480</v>
      </c>
      <c r="M171" s="57">
        <f>IF(Productos[[#This Row],[Stock]]&lt;0,"",+Productos[[#This Row],[Total2]]-Productos[[#This Row],[Total]])</f>
        <v>120</v>
      </c>
    </row>
    <row r="172" spans="1:13" x14ac:dyDescent="0.25">
      <c r="A172" t="s">
        <v>753</v>
      </c>
      <c r="B172" t="s">
        <v>166</v>
      </c>
      <c r="C172" t="s">
        <v>23</v>
      </c>
      <c r="D172" t="s">
        <v>757</v>
      </c>
      <c r="E172">
        <v>12</v>
      </c>
      <c r="F172" s="57">
        <f>+SUMIF(Compras[[#All],[Codigo de Producto]],Productos[[#All],[Codigo de Producto]],Compras[[#All],[Cantidad]])</f>
        <v>0</v>
      </c>
      <c r="G172" s="57">
        <f>+SUMIF(Ventas[[#All],[Codigo de Producto]],Productos[[#All],[Codigo de Producto]],Ventas[[#All],[Cantidad]])</f>
        <v>0</v>
      </c>
      <c r="H172" s="57">
        <f>+Productos[[#This Row],[Existencias Iniciales]]+Productos[[#This Row],[Entradas]]-Productos[[#This Row],[Salidas]]</f>
        <v>12</v>
      </c>
      <c r="I172">
        <v>34</v>
      </c>
      <c r="J172" s="57">
        <f>IF(Productos[[#This Row],[Stock]]&lt;0,"",+Productos[[#This Row],[Stock]]*Productos[[#This Row],[Costo Unitario]])</f>
        <v>408</v>
      </c>
      <c r="K172">
        <v>50</v>
      </c>
      <c r="L172" s="57">
        <f>IF(Productos[[#This Row],[Stock]]&lt;0,"",+Productos[[#This Row],[Stock]]*Productos[[#This Row],[Precio Unitario]])</f>
        <v>600</v>
      </c>
      <c r="M172" s="57">
        <f>IF(Productos[[#This Row],[Stock]]&lt;0,"",+Productos[[#This Row],[Total2]]-Productos[[#This Row],[Total]])</f>
        <v>192</v>
      </c>
    </row>
    <row r="173" spans="1:13" x14ac:dyDescent="0.25">
      <c r="A173" t="s">
        <v>638</v>
      </c>
      <c r="B173" t="s">
        <v>167</v>
      </c>
      <c r="C173" t="s">
        <v>617</v>
      </c>
      <c r="D173" t="s">
        <v>489</v>
      </c>
      <c r="E173">
        <f>8*2+(18/10)</f>
        <v>17.8</v>
      </c>
      <c r="F173">
        <f>+SUMIF(Compras[[#All],[Codigo de Producto]],Productos[[#All],[Codigo de Producto]],Compras[[#All],[Cantidad]])</f>
        <v>0</v>
      </c>
      <c r="G173">
        <f>+SUMIF(Ventas[[#All],[Codigo de Producto]],Productos[[#All],[Codigo de Producto]],Ventas[[#All],[Cantidad]])</f>
        <v>5.5</v>
      </c>
      <c r="H173">
        <f>+Productos[[#This Row],[Existencias Iniciales]]+Productos[[#This Row],[Entradas]]-Productos[[#This Row],[Salidas]]</f>
        <v>12.3</v>
      </c>
      <c r="I173">
        <v>207</v>
      </c>
      <c r="J173">
        <f>IF(Productos[[#This Row],[Stock]]&lt;0,"",+Productos[[#This Row],[Stock]]*Productos[[#This Row],[Costo Unitario]])</f>
        <v>2546.1000000000004</v>
      </c>
      <c r="K173">
        <v>240</v>
      </c>
      <c r="L173">
        <f>IF(Productos[[#This Row],[Stock]]&lt;0,"",+Productos[[#This Row],[Stock]]*Productos[[#This Row],[Precio Unitario]])</f>
        <v>2952</v>
      </c>
      <c r="M173">
        <f>IF(Productos[[#This Row],[Stock]]&lt;0,"",+Productos[[#This Row],[Total2]]-Productos[[#This Row],[Total]])</f>
        <v>405.89999999999964</v>
      </c>
    </row>
    <row r="174" spans="1:13" x14ac:dyDescent="0.25">
      <c r="A174" t="s">
        <v>713</v>
      </c>
      <c r="B174" t="s">
        <v>186</v>
      </c>
      <c r="C174" t="s">
        <v>24</v>
      </c>
      <c r="D174" t="s">
        <v>712</v>
      </c>
      <c r="E174">
        <f>5.5+1.5</f>
        <v>7</v>
      </c>
      <c r="F174" s="57">
        <f>+SUMIF(Compras[[#All],[Codigo de Producto]],Productos[[#All],[Codigo de Producto]],Compras[[#All],[Cantidad]])</f>
        <v>45.599999999999994</v>
      </c>
      <c r="G174" s="57">
        <f>+SUMIF(Ventas[[#All],[Codigo de Producto]],Productos[[#All],[Codigo de Producto]],Ventas[[#All],[Cantidad]])</f>
        <v>39.800000000000004</v>
      </c>
      <c r="H174" s="57">
        <f>+Productos[[#This Row],[Existencias Iniciales]]+Productos[[#This Row],[Entradas]]-Productos[[#This Row],[Salidas]]</f>
        <v>12.79999999999999</v>
      </c>
      <c r="I174">
        <v>80</v>
      </c>
      <c r="J174">
        <f>IF(Productos[[#This Row],[Stock]]&lt;0,"",+Productos[[#This Row],[Stock]]*Productos[[#This Row],[Costo Unitario]])</f>
        <v>1023.9999999999992</v>
      </c>
      <c r="K174">
        <v>100</v>
      </c>
      <c r="L174" s="57">
        <f>IF(Productos[[#This Row],[Stock]]&lt;0,"",+Productos[[#This Row],[Stock]]*Productos[[#This Row],[Precio Unitario]])</f>
        <v>1279.9999999999991</v>
      </c>
      <c r="M174" s="57">
        <f>IF(Productos[[#This Row],[Stock]]&lt;0,"",+Productos[[#This Row],[Total2]]-Productos[[#This Row],[Total]])</f>
        <v>255.99999999999989</v>
      </c>
    </row>
    <row r="175" spans="1:13" x14ac:dyDescent="0.25">
      <c r="A175" t="s">
        <v>837</v>
      </c>
      <c r="B175" t="s">
        <v>163</v>
      </c>
      <c r="C175" t="s">
        <v>75</v>
      </c>
      <c r="D175" t="s">
        <v>230</v>
      </c>
      <c r="E175">
        <v>13</v>
      </c>
      <c r="F175" s="57">
        <f>+SUMIF(Compras[[#All],[Codigo de Producto]],Productos[[#All],[Codigo de Producto]],Compras[[#All],[Cantidad]])</f>
        <v>0</v>
      </c>
      <c r="G175" s="57">
        <f>+SUMIF(Ventas[[#All],[Codigo de Producto]],Productos[[#All],[Codigo de Producto]],Ventas[[#All],[Cantidad]])</f>
        <v>0</v>
      </c>
      <c r="H175" s="57">
        <f>+Productos[[#This Row],[Existencias Iniciales]]+Productos[[#This Row],[Entradas]]-Productos[[#This Row],[Salidas]]</f>
        <v>13</v>
      </c>
      <c r="I175">
        <v>49</v>
      </c>
      <c r="J175" s="57">
        <f>IF(Productos[[#This Row],[Stock]]&lt;0,"",+Productos[[#This Row],[Stock]]*Productos[[#This Row],[Costo Unitario]])</f>
        <v>637</v>
      </c>
      <c r="K175">
        <v>45</v>
      </c>
      <c r="L175" s="57">
        <f>IF(Productos[[#This Row],[Stock]]&lt;0,"",+Productos[[#This Row],[Stock]]*Productos[[#This Row],[Precio Unitario]])</f>
        <v>585</v>
      </c>
      <c r="M175" s="57">
        <f>IF(Productos[[#This Row],[Stock]]&lt;0,"",+Productos[[#This Row],[Total2]]-Productos[[#This Row],[Total]])</f>
        <v>-52</v>
      </c>
    </row>
    <row r="176" spans="1:13" x14ac:dyDescent="0.25">
      <c r="A176" s="57" t="s">
        <v>727</v>
      </c>
      <c r="B176" t="s">
        <v>163</v>
      </c>
      <c r="C176" t="s">
        <v>25</v>
      </c>
      <c r="D176" t="s">
        <v>145</v>
      </c>
      <c r="F176" s="57">
        <f>+SUMIF(Compras[[#All],[Codigo de Producto]],Productos[[#All],[Codigo de Producto]],Compras[[#All],[Cantidad]])</f>
        <v>17</v>
      </c>
      <c r="G176" s="57">
        <f>+SUMIF(Ventas[[#All],[Codigo de Producto]],Productos[[#All],[Codigo de Producto]],Ventas[[#All],[Cantidad]])</f>
        <v>4</v>
      </c>
      <c r="H176" s="57">
        <f>+Productos[[#This Row],[Existencias Iniciales]]+Productos[[#This Row],[Entradas]]-Productos[[#This Row],[Salidas]]</f>
        <v>13</v>
      </c>
      <c r="I176">
        <v>80</v>
      </c>
      <c r="J176">
        <f>IF(Productos[[#This Row],[Stock]]&lt;0,"",+Productos[[#This Row],[Stock]]*Productos[[#This Row],[Costo Unitario]])</f>
        <v>1040</v>
      </c>
      <c r="K176">
        <v>100</v>
      </c>
      <c r="L176" s="57">
        <f>IF(Productos[[#This Row],[Stock]]&lt;0,"",+Productos[[#This Row],[Stock]]*Productos[[#This Row],[Precio Unitario]])</f>
        <v>1300</v>
      </c>
      <c r="M176" s="57">
        <f>IF(Productos[[#This Row],[Stock]]&lt;0,"",+Productos[[#This Row],[Total2]]-Productos[[#This Row],[Total]])</f>
        <v>260</v>
      </c>
    </row>
    <row r="177" spans="1:13" x14ac:dyDescent="0.25">
      <c r="A177" t="s">
        <v>643</v>
      </c>
      <c r="B177" t="s">
        <v>167</v>
      </c>
      <c r="C177" t="s">
        <v>55</v>
      </c>
      <c r="D177" t="s">
        <v>586</v>
      </c>
      <c r="E177">
        <v>3</v>
      </c>
      <c r="F177">
        <f>+SUMIF(Compras[[#All],[Codigo de Producto]],Productos[[#All],[Codigo de Producto]],Compras[[#All],[Cantidad]])</f>
        <v>10</v>
      </c>
      <c r="G177">
        <f>+SUMIF(Ventas[[#All],[Codigo de Producto]],Productos[[#All],[Codigo de Producto]],Ventas[[#All],[Cantidad]])</f>
        <v>0</v>
      </c>
      <c r="H177">
        <f>+Productos[[#This Row],[Existencias Iniciales]]+Productos[[#This Row],[Entradas]]-Productos[[#This Row],[Salidas]]</f>
        <v>13</v>
      </c>
      <c r="I177">
        <v>268</v>
      </c>
      <c r="J177">
        <f>IF(Productos[[#This Row],[Stock]]&lt;0,"",+Productos[[#This Row],[Stock]]*Productos[[#This Row],[Costo Unitario]])</f>
        <v>3484</v>
      </c>
      <c r="K177">
        <v>300</v>
      </c>
      <c r="L177">
        <f>IF(Productos[[#This Row],[Stock]]&lt;0,"",+Productos[[#This Row],[Stock]]*Productos[[#This Row],[Precio Unitario]])</f>
        <v>3900</v>
      </c>
      <c r="M177">
        <f>IF(Productos[[#This Row],[Stock]]&lt;0,"",+Productos[[#This Row],[Total2]]-Productos[[#This Row],[Total]])</f>
        <v>416</v>
      </c>
    </row>
    <row r="178" spans="1:13" x14ac:dyDescent="0.25">
      <c r="A178" t="s">
        <v>720</v>
      </c>
      <c r="B178" t="s">
        <v>198</v>
      </c>
      <c r="C178" t="s">
        <v>44</v>
      </c>
      <c r="D178" t="s">
        <v>724</v>
      </c>
      <c r="E178">
        <v>0</v>
      </c>
      <c r="F178" s="57">
        <f>+SUMIF(Compras[[#All],[Codigo de Producto]],Productos[[#All],[Codigo de Producto]],Compras[[#All],[Cantidad]])</f>
        <v>30</v>
      </c>
      <c r="G178" s="57">
        <f>+SUMIF(Ventas[[#All],[Codigo de Producto]],Productos[[#All],[Codigo de Producto]],Ventas[[#All],[Cantidad]])</f>
        <v>17</v>
      </c>
      <c r="H178" s="57">
        <f>+Productos[[#This Row],[Existencias Iniciales]]+Productos[[#This Row],[Entradas]]-Productos[[#This Row],[Salidas]]</f>
        <v>13</v>
      </c>
      <c r="I178">
        <v>26</v>
      </c>
      <c r="J178">
        <f>IF(Productos[[#This Row],[Stock]]&lt;0,"",+Productos[[#This Row],[Stock]]*Productos[[#This Row],[Costo Unitario]])</f>
        <v>338</v>
      </c>
      <c r="K178">
        <v>35</v>
      </c>
      <c r="L178" s="57">
        <f>IF(Productos[[#This Row],[Stock]]&lt;0,"",+Productos[[#This Row],[Stock]]*Productos[[#This Row],[Precio Unitario]])</f>
        <v>455</v>
      </c>
      <c r="M178" s="57">
        <f>IF(Productos[[#This Row],[Stock]]&lt;0,"",+Productos[[#This Row],[Total2]]-Productos[[#This Row],[Total]])</f>
        <v>117</v>
      </c>
    </row>
    <row r="179" spans="1:13" x14ac:dyDescent="0.25">
      <c r="A179" t="s">
        <v>646</v>
      </c>
      <c r="B179" t="s">
        <v>167</v>
      </c>
      <c r="C179" t="s">
        <v>617</v>
      </c>
      <c r="D179" t="s">
        <v>397</v>
      </c>
      <c r="E179">
        <f>9*2+(11/10)</f>
        <v>19.100000000000001</v>
      </c>
      <c r="F179">
        <f>+SUMIF(Compras[[#All],[Codigo de Producto]],Productos[[#All],[Codigo de Producto]],Compras[[#All],[Cantidad]])</f>
        <v>40</v>
      </c>
      <c r="G179">
        <f>+SUMIF(Ventas[[#All],[Codigo de Producto]],Productos[[#All],[Codigo de Producto]],Ventas[[#All],[Cantidad]])</f>
        <v>45.26</v>
      </c>
      <c r="H179">
        <f>+Productos[[#This Row],[Existencias Iniciales]]+Productos[[#This Row],[Entradas]]-Productos[[#This Row],[Salidas]]</f>
        <v>13.840000000000003</v>
      </c>
      <c r="I179">
        <v>219</v>
      </c>
      <c r="J179">
        <f>IF(Productos[[#This Row],[Stock]]&lt;0,"",+Productos[[#This Row],[Stock]]*Productos[[#This Row],[Costo Unitario]])</f>
        <v>3030.9600000000009</v>
      </c>
      <c r="K179">
        <v>250</v>
      </c>
      <c r="L179">
        <f>IF(Productos[[#This Row],[Stock]]&lt;0,"",+Productos[[#This Row],[Stock]]*Productos[[#This Row],[Precio Unitario]])</f>
        <v>3460.0000000000009</v>
      </c>
      <c r="M179">
        <f>IF(Productos[[#This Row],[Stock]]&lt;0,"",+Productos[[#This Row],[Total2]]-Productos[[#This Row],[Total]])</f>
        <v>429.03999999999996</v>
      </c>
    </row>
    <row r="180" spans="1:13" x14ac:dyDescent="0.25">
      <c r="A180" t="s">
        <v>704</v>
      </c>
      <c r="B180" t="s">
        <v>163</v>
      </c>
      <c r="C180" t="s">
        <v>56</v>
      </c>
      <c r="D180" t="s">
        <v>267</v>
      </c>
      <c r="E180">
        <v>120</v>
      </c>
      <c r="F180">
        <f>+SUMIF(Compras[[#All],[Codigo de Producto]],Productos[[#All],[Codigo de Producto]],Compras[[#All],[Cantidad]])</f>
        <v>198</v>
      </c>
      <c r="G180">
        <f>+SUMIF(Ventas[[#All],[Codigo de Producto]],Productos[[#All],[Codigo de Producto]],Ventas[[#All],[Cantidad]])</f>
        <v>304</v>
      </c>
      <c r="H180">
        <f>+Productos[[#This Row],[Existencias Iniciales]]+Productos[[#This Row],[Entradas]]-Productos[[#This Row],[Salidas]]</f>
        <v>14</v>
      </c>
      <c r="I180">
        <v>127</v>
      </c>
      <c r="J180">
        <f>IF(Productos[[#This Row],[Stock]]&lt;0,"",+Productos[[#This Row],[Stock]]*Productos[[#This Row],[Costo Unitario]])</f>
        <v>1778</v>
      </c>
      <c r="K180">
        <v>155</v>
      </c>
      <c r="L180">
        <f>IF(Productos[[#This Row],[Stock]]&lt;0,"",+Productos[[#This Row],[Stock]]*Productos[[#This Row],[Precio Unitario]])</f>
        <v>2170</v>
      </c>
      <c r="M180">
        <f>IF(Productos[[#This Row],[Stock]]&lt;0,"",+Productos[[#This Row],[Total2]]-Productos[[#This Row],[Total]])</f>
        <v>392</v>
      </c>
    </row>
    <row r="181" spans="1:13" x14ac:dyDescent="0.25">
      <c r="A181" t="s">
        <v>827</v>
      </c>
      <c r="B181" t="s">
        <v>166</v>
      </c>
      <c r="C181" t="s">
        <v>92</v>
      </c>
      <c r="D181" t="s">
        <v>814</v>
      </c>
      <c r="E181">
        <v>16</v>
      </c>
      <c r="F181" s="57">
        <f>+SUMIF(Compras[[#All],[Codigo de Producto]],Productos[[#All],[Codigo de Producto]],Compras[[#All],[Cantidad]])</f>
        <v>0</v>
      </c>
      <c r="G181" s="57">
        <f>+SUMIF(Ventas[[#All],[Codigo de Producto]],Productos[[#All],[Codigo de Producto]],Ventas[[#All],[Cantidad]])</f>
        <v>1</v>
      </c>
      <c r="H181" s="57">
        <f>+Productos[[#This Row],[Existencias Iniciales]]+Productos[[#This Row],[Entradas]]-Productos[[#This Row],[Salidas]]</f>
        <v>15</v>
      </c>
      <c r="I181">
        <v>94</v>
      </c>
      <c r="J181" s="57">
        <f>IF(Productos[[#This Row],[Stock]]&lt;0,"",+Productos[[#This Row],[Stock]]*Productos[[#This Row],[Costo Unitario]])</f>
        <v>1410</v>
      </c>
      <c r="K181">
        <v>150</v>
      </c>
      <c r="L181" s="57">
        <f>IF(Productos[[#This Row],[Stock]]&lt;0,"",+Productos[[#This Row],[Stock]]*Productos[[#This Row],[Precio Unitario]])</f>
        <v>2250</v>
      </c>
      <c r="M181" s="57">
        <f>IF(Productos[[#This Row],[Stock]]&lt;0,"",+Productos[[#This Row],[Total2]]-Productos[[#This Row],[Total]])</f>
        <v>840</v>
      </c>
    </row>
    <row r="182" spans="1:13" x14ac:dyDescent="0.25">
      <c r="A182" t="s">
        <v>890</v>
      </c>
      <c r="B182" t="s">
        <v>163</v>
      </c>
      <c r="C182" t="s">
        <v>617</v>
      </c>
      <c r="D182" t="s">
        <v>292</v>
      </c>
      <c r="F182" s="57">
        <f>+SUMIF(Compras[[#All],[Codigo de Producto]],Productos[[#All],[Codigo de Producto]],Compras[[#All],[Cantidad]])</f>
        <v>50</v>
      </c>
      <c r="G182" s="57">
        <f>+SUMIF(Ventas[[#All],[Codigo de Producto]],Productos[[#All],[Codigo de Producto]],Ventas[[#All],[Cantidad]])</f>
        <v>34.224999999999994</v>
      </c>
      <c r="H182" s="57">
        <f>+Productos[[#This Row],[Existencias Iniciales]]+Productos[[#This Row],[Entradas]]-Productos[[#This Row],[Salidas]]</f>
        <v>15.775000000000006</v>
      </c>
      <c r="I182">
        <f ca="1">+SUMIF(Compras[[#All],[Codigo de Producto]],Productos[[#All],[Codigo de Producto]],Compras[[#Headers],[Precio]])</f>
        <v>232.64</v>
      </c>
      <c r="J182" s="57">
        <f ca="1">IF(Productos[[#This Row],[Stock]]&lt;0,"",+Productos[[#This Row],[Stock]]*Productos[[#This Row],[Costo Unitario]])</f>
        <v>3669.8960000000011</v>
      </c>
      <c r="K182">
        <v>250</v>
      </c>
      <c r="L182" s="57">
        <f>IF(Productos[[#This Row],[Stock]]&lt;0,"",+Productos[[#This Row],[Stock]]*Productos[[#This Row],[Precio Unitario]])</f>
        <v>3943.7500000000014</v>
      </c>
      <c r="M182" s="57">
        <f ca="1">IF(Productos[[#This Row],[Stock]]&lt;0,"",+Productos[[#This Row],[Total2]]-Productos[[#This Row],[Total]])</f>
        <v>273.85400000000027</v>
      </c>
    </row>
    <row r="183" spans="1:13" x14ac:dyDescent="0.25">
      <c r="A183" t="s">
        <v>767</v>
      </c>
      <c r="B183" t="s">
        <v>395</v>
      </c>
      <c r="C183" t="s">
        <v>68</v>
      </c>
      <c r="D183" t="s">
        <v>764</v>
      </c>
      <c r="E183">
        <v>18</v>
      </c>
      <c r="F183" s="57">
        <f>+SUMIF(Compras[[#All],[Codigo de Producto]],Productos[[#All],[Codigo de Producto]],Compras[[#All],[Cantidad]])</f>
        <v>0</v>
      </c>
      <c r="G183" s="57">
        <f>+SUMIF(Ventas[[#All],[Codigo de Producto]],Productos[[#All],[Codigo de Producto]],Ventas[[#All],[Cantidad]])</f>
        <v>1</v>
      </c>
      <c r="H183" s="57">
        <f>+Productos[[#This Row],[Existencias Iniciales]]+Productos[[#This Row],[Entradas]]-Productos[[#This Row],[Salidas]]</f>
        <v>17</v>
      </c>
      <c r="I183">
        <f ca="1">+SUMIF(Compras[[#All],[Codigo de Producto]],Productos[[#All],[Codigo de Producto]],Compras[[#Headers],[Precio]])</f>
        <v>0</v>
      </c>
      <c r="J183" s="57">
        <f ca="1">IF(Productos[[#This Row],[Stock]]&lt;0,"",+Productos[[#This Row],[Stock]]*Productos[[#This Row],[Costo Unitario]])</f>
        <v>0</v>
      </c>
      <c r="K183">
        <v>75</v>
      </c>
      <c r="L183" s="57">
        <f>IF(Productos[[#This Row],[Stock]]&lt;0,"",+Productos[[#This Row],[Stock]]*Productos[[#This Row],[Precio Unitario]])</f>
        <v>1275</v>
      </c>
      <c r="M183" s="57">
        <f ca="1">IF(Productos[[#This Row],[Stock]]&lt;0,"",+Productos[[#This Row],[Total2]]-Productos[[#This Row],[Total]])</f>
        <v>1275</v>
      </c>
    </row>
    <row r="184" spans="1:13" x14ac:dyDescent="0.25">
      <c r="A184" t="s">
        <v>733</v>
      </c>
      <c r="B184" t="s">
        <v>166</v>
      </c>
      <c r="C184" t="s">
        <v>92</v>
      </c>
      <c r="D184" t="s">
        <v>250</v>
      </c>
      <c r="E184">
        <v>19</v>
      </c>
      <c r="F184" s="57">
        <f>+SUMIF(Compras[[#All],[Codigo de Producto]],Productos[[#All],[Codigo de Producto]],Compras[[#All],[Cantidad]])</f>
        <v>0</v>
      </c>
      <c r="G184" s="57">
        <f>+SUMIF(Ventas[[#All],[Codigo de Producto]],Productos[[#All],[Codigo de Producto]],Ventas[[#All],[Cantidad]])</f>
        <v>2</v>
      </c>
      <c r="H184" s="57">
        <f>+Productos[[#This Row],[Existencias Iniciales]]+Productos[[#This Row],[Entradas]]-Productos[[#This Row],[Salidas]]</f>
        <v>17</v>
      </c>
      <c r="I184">
        <v>138</v>
      </c>
      <c r="J184">
        <f>IF(Productos[[#This Row],[Stock]]&lt;0,"",+Productos[[#This Row],[Stock]]*Productos[[#This Row],[Costo Unitario]])</f>
        <v>2346</v>
      </c>
      <c r="K184">
        <v>180</v>
      </c>
      <c r="L184" s="57">
        <f>IF(Productos[[#This Row],[Stock]]&lt;0,"",+Productos[[#This Row],[Stock]]*Productos[[#This Row],[Precio Unitario]])</f>
        <v>3060</v>
      </c>
      <c r="M184" s="57">
        <f>IF(Productos[[#This Row],[Stock]]&lt;0,"",+Productos[[#This Row],[Total2]]-Productos[[#This Row],[Total]])</f>
        <v>714</v>
      </c>
    </row>
    <row r="185" spans="1:13" x14ac:dyDescent="0.25">
      <c r="A185" t="s">
        <v>848</v>
      </c>
      <c r="B185" t="s">
        <v>163</v>
      </c>
      <c r="C185" t="s">
        <v>617</v>
      </c>
      <c r="D185" t="s">
        <v>248</v>
      </c>
      <c r="E185">
        <f>13*1.54</f>
        <v>20.02</v>
      </c>
      <c r="F185">
        <f>+SUMIF(Compras[[#All],[Codigo de Producto]],Productos[[#All],[Codigo de Producto]],Compras[[#All],[Cantidad]])</f>
        <v>0</v>
      </c>
      <c r="G185">
        <f>+SUMIF(Ventas[[#All],[Codigo de Producto]],Productos[[#All],[Codigo de Producto]],Ventas[[#All],[Cantidad]])</f>
        <v>1.54</v>
      </c>
      <c r="H185">
        <f>+Productos[[#This Row],[Existencias Iniciales]]+Productos[[#This Row],[Entradas]]-Productos[[#This Row],[Salidas]]</f>
        <v>18.48</v>
      </c>
      <c r="I185">
        <v>272</v>
      </c>
      <c r="J185">
        <f>IF(Productos[[#This Row],[Stock]]&lt;0,"",+Productos[[#This Row],[Stock]]*Productos[[#This Row],[Costo Unitario]])</f>
        <v>5026.5600000000004</v>
      </c>
      <c r="K185">
        <v>380</v>
      </c>
      <c r="L185">
        <f>IF(Productos[[#This Row],[Stock]]&lt;0,"",+Productos[[#This Row],[Stock]]*Productos[[#This Row],[Precio Unitario]])</f>
        <v>7022.4000000000005</v>
      </c>
      <c r="M185">
        <f>IF(Productos[[#This Row],[Stock]]&lt;0,"",+Productos[[#This Row],[Total2]]-Productos[[#This Row],[Total]])</f>
        <v>1995.8400000000001</v>
      </c>
    </row>
    <row r="186" spans="1:13" x14ac:dyDescent="0.25">
      <c r="A186" t="s">
        <v>625</v>
      </c>
      <c r="B186" t="s">
        <v>167</v>
      </c>
      <c r="C186" t="s">
        <v>617</v>
      </c>
      <c r="D186" t="s">
        <v>131</v>
      </c>
      <c r="E186">
        <v>3.5</v>
      </c>
      <c r="F186">
        <f>+SUMIF(Compras[[#All],[Codigo de Producto]],Productos[[#All],[Codigo de Producto]],Compras[[#All],[Cantidad]])</f>
        <v>44</v>
      </c>
      <c r="G186">
        <f>+SUMIF(Ventas[[#All],[Codigo de Producto]],Productos[[#All],[Codigo de Producto]],Ventas[[#All],[Cantidad]])</f>
        <v>28.833366666666667</v>
      </c>
      <c r="H186">
        <f>+Productos[[#This Row],[Existencias Iniciales]]+Productos[[#This Row],[Entradas]]-Productos[[#This Row],[Salidas]]</f>
        <v>18.666633333333333</v>
      </c>
      <c r="I186">
        <v>268</v>
      </c>
      <c r="J186">
        <f>IF(Productos[[#This Row],[Stock]]&lt;0,"",+Productos[[#This Row],[Stock]]*Productos[[#This Row],[Costo Unitario]])</f>
        <v>5002.6577333333335</v>
      </c>
      <c r="K186">
        <v>300</v>
      </c>
      <c r="L186">
        <f>IF(Productos[[#This Row],[Stock]]&lt;0,"",+Productos[[#This Row],[Stock]]*Productos[[#This Row],[Precio Unitario]])</f>
        <v>5599.99</v>
      </c>
      <c r="M186">
        <f>IF(Productos[[#This Row],[Stock]]&lt;0,"",+Productos[[#This Row],[Total2]]-Productos[[#This Row],[Total]])</f>
        <v>597.33226666666633</v>
      </c>
    </row>
    <row r="187" spans="1:13" x14ac:dyDescent="0.25">
      <c r="A187" t="s">
        <v>705</v>
      </c>
      <c r="B187" t="s">
        <v>163</v>
      </c>
      <c r="C187" t="s">
        <v>56</v>
      </c>
      <c r="D187" t="s">
        <v>176</v>
      </c>
      <c r="E187">
        <v>56</v>
      </c>
      <c r="F187">
        <f>+SUMIF(Compras[[#All],[Codigo de Producto]],Productos[[#All],[Codigo de Producto]],Compras[[#All],[Cantidad]])</f>
        <v>0</v>
      </c>
      <c r="G187">
        <f>+SUMIF(Ventas[[#All],[Codigo de Producto]],Productos[[#All],[Codigo de Producto]],Ventas[[#All],[Cantidad]])</f>
        <v>37</v>
      </c>
      <c r="H187">
        <f>+Productos[[#This Row],[Existencias Iniciales]]+Productos[[#This Row],[Entradas]]-Productos[[#This Row],[Salidas]]</f>
        <v>19</v>
      </c>
      <c r="I187">
        <v>190</v>
      </c>
      <c r="J187">
        <f>IF(Productos[[#This Row],[Stock]]&lt;0,"",+Productos[[#This Row],[Stock]]*Productos[[#This Row],[Costo Unitario]])</f>
        <v>3610</v>
      </c>
      <c r="K187">
        <v>260</v>
      </c>
      <c r="L187">
        <f>IF(Productos[[#This Row],[Stock]]&lt;0,"",+Productos[[#This Row],[Stock]]*Productos[[#This Row],[Precio Unitario]])</f>
        <v>4940</v>
      </c>
      <c r="M187">
        <f>IF(Productos[[#This Row],[Stock]]&lt;0,"",+Productos[[#This Row],[Total2]]-Productos[[#This Row],[Total]])</f>
        <v>1330</v>
      </c>
    </row>
    <row r="188" spans="1:13" x14ac:dyDescent="0.25">
      <c r="A188" t="s">
        <v>901</v>
      </c>
      <c r="B188" t="s">
        <v>167</v>
      </c>
      <c r="C188" t="s">
        <v>617</v>
      </c>
      <c r="D188" t="s">
        <v>423</v>
      </c>
      <c r="F188" s="57">
        <f>+SUMIF(Compras[[#All],[Codigo de Producto]],Productos[[#All],[Codigo de Producto]],Compras[[#All],[Cantidad]])</f>
        <v>100</v>
      </c>
      <c r="G188" s="57">
        <f>+SUMIF(Ventas[[#All],[Codigo de Producto]],Productos[[#All],[Codigo de Producto]],Ventas[[#All],[Cantidad]])</f>
        <v>79</v>
      </c>
      <c r="H188" s="57">
        <f>+Productos[[#This Row],[Existencias Iniciales]]+Productos[[#This Row],[Entradas]]-Productos[[#This Row],[Salidas]]</f>
        <v>21</v>
      </c>
      <c r="I188">
        <f ca="1">+SUMIF(Compras[[#All],[Codigo de Producto]],Productos[[#All],[Codigo de Producto]],Compras[[#Headers],[Precio]])</f>
        <v>207</v>
      </c>
      <c r="J188" s="57">
        <f ca="1">IF(Productos[[#This Row],[Stock]]&lt;0,"",+Productos[[#This Row],[Stock]]*Productos[[#This Row],[Costo Unitario]])</f>
        <v>4347</v>
      </c>
      <c r="K188">
        <v>240</v>
      </c>
      <c r="L188" s="57">
        <f>IF(Productos[[#This Row],[Stock]]&lt;0,"",+Productos[[#This Row],[Stock]]*Productos[[#This Row],[Precio Unitario]])</f>
        <v>5040</v>
      </c>
      <c r="M188" s="57">
        <f ca="1">IF(Productos[[#This Row],[Stock]]&lt;0,"",+Productos[[#This Row],[Total2]]-Productos[[#This Row],[Total]])</f>
        <v>693</v>
      </c>
    </row>
    <row r="189" spans="1:13" x14ac:dyDescent="0.25">
      <c r="A189" t="s">
        <v>671</v>
      </c>
      <c r="B189" t="s">
        <v>167</v>
      </c>
      <c r="C189" t="s">
        <v>55</v>
      </c>
      <c r="D189" t="s">
        <v>651</v>
      </c>
      <c r="E189">
        <f>11*2</f>
        <v>22</v>
      </c>
      <c r="F189">
        <f>+SUMIF(Compras[[#All],[Codigo de Producto]],Productos[[#All],[Codigo de Producto]],Compras[[#All],[Cantidad]])</f>
        <v>0</v>
      </c>
      <c r="G189">
        <f>+SUMIF(Ventas[[#All],[Codigo de Producto]],Productos[[#All],[Codigo de Producto]],Ventas[[#All],[Cantidad]])</f>
        <v>0</v>
      </c>
      <c r="H189">
        <f>+Productos[[#This Row],[Existencias Iniciales]]+Productos[[#This Row],[Entradas]]-Productos[[#This Row],[Salidas]]</f>
        <v>22</v>
      </c>
      <c r="I189">
        <v>207</v>
      </c>
      <c r="J189">
        <f>IF(Productos[[#This Row],[Stock]]&lt;0,"",+Productos[[#This Row],[Stock]]*Productos[[#This Row],[Costo Unitario]])</f>
        <v>4554</v>
      </c>
      <c r="K189">
        <v>270</v>
      </c>
      <c r="L189">
        <f>IF(Productos[[#This Row],[Stock]]&lt;0,"",+Productos[[#This Row],[Stock]]*Productos[[#This Row],[Precio Unitario]])</f>
        <v>5940</v>
      </c>
      <c r="M189">
        <f>IF(Productos[[#This Row],[Stock]]&lt;0,"",+Productos[[#This Row],[Total2]]-Productos[[#This Row],[Total]])</f>
        <v>1386</v>
      </c>
    </row>
    <row r="190" spans="1:13" x14ac:dyDescent="0.25">
      <c r="A190" t="s">
        <v>673</v>
      </c>
      <c r="B190" t="s">
        <v>167</v>
      </c>
      <c r="C190" t="s">
        <v>55</v>
      </c>
      <c r="D190" t="s">
        <v>653</v>
      </c>
      <c r="E190">
        <v>24</v>
      </c>
      <c r="F190">
        <f>+SUMIF(Compras[[#All],[Codigo de Producto]],Productos[[#All],[Codigo de Producto]],Compras[[#All],[Cantidad]])</f>
        <v>0</v>
      </c>
      <c r="G190">
        <f>+SUMIF(Ventas[[#All],[Codigo de Producto]],Productos[[#All],[Codigo de Producto]],Ventas[[#All],[Cantidad]])</f>
        <v>0</v>
      </c>
      <c r="H190">
        <f>+Productos[[#This Row],[Existencias Iniciales]]+Productos[[#This Row],[Entradas]]-Productos[[#This Row],[Salidas]]</f>
        <v>24</v>
      </c>
      <c r="I190">
        <v>207</v>
      </c>
      <c r="J190">
        <f>IF(Productos[[#This Row],[Stock]]&lt;0,"",+Productos[[#This Row],[Stock]]*Productos[[#This Row],[Costo Unitario]])</f>
        <v>4968</v>
      </c>
      <c r="K190">
        <v>270</v>
      </c>
      <c r="L190">
        <f>IF(Productos[[#This Row],[Stock]]&lt;0,"",+Productos[[#This Row],[Stock]]*Productos[[#This Row],[Precio Unitario]])</f>
        <v>6480</v>
      </c>
      <c r="M190">
        <f>IF(Productos[[#This Row],[Stock]]&lt;0,"",+Productos[[#This Row],[Total2]]-Productos[[#This Row],[Total]])</f>
        <v>1512</v>
      </c>
    </row>
    <row r="191" spans="1:13" x14ac:dyDescent="0.25">
      <c r="A191" t="s">
        <v>913</v>
      </c>
      <c r="B191" t="s">
        <v>163</v>
      </c>
      <c r="C191" t="s">
        <v>617</v>
      </c>
      <c r="D191" t="s">
        <v>550</v>
      </c>
      <c r="E191">
        <v>40</v>
      </c>
      <c r="F191" s="57">
        <f>+SUMIF(Compras[[#All],[Codigo de Producto]],Productos[[#All],[Codigo de Producto]],Compras[[#All],[Cantidad]])</f>
        <v>0</v>
      </c>
      <c r="G191" s="57">
        <f>+SUMIF(Ventas[[#All],[Codigo de Producto]],Productos[[#All],[Codigo de Producto]],Ventas[[#All],[Cantidad]])</f>
        <v>12</v>
      </c>
      <c r="H191" s="57">
        <f>+Productos[[#This Row],[Existencias Iniciales]]+Productos[[#This Row],[Entradas]]-Productos[[#This Row],[Salidas]]</f>
        <v>28</v>
      </c>
      <c r="I191">
        <v>222</v>
      </c>
      <c r="J191" s="57">
        <f>IF(Productos[[#This Row],[Stock]]&lt;0,"",+Productos[[#This Row],[Stock]]*Productos[[#This Row],[Costo Unitario]])</f>
        <v>6216</v>
      </c>
      <c r="K191">
        <v>250</v>
      </c>
      <c r="L191" s="57">
        <f>IF(Productos[[#This Row],[Stock]]&lt;0,"",+Productos[[#This Row],[Stock]]*Productos[[#This Row],[Precio Unitario]])</f>
        <v>7000</v>
      </c>
      <c r="M191" s="57">
        <f>IF(Productos[[#This Row],[Stock]]&lt;0,"",+Productos[[#This Row],[Total2]]-Productos[[#This Row],[Total]])</f>
        <v>784</v>
      </c>
    </row>
    <row r="192" spans="1:13" x14ac:dyDescent="0.25">
      <c r="A192" t="s">
        <v>838</v>
      </c>
      <c r="B192" t="s">
        <v>163</v>
      </c>
      <c r="C192" t="s">
        <v>75</v>
      </c>
      <c r="D192" t="s">
        <v>836</v>
      </c>
      <c r="E192">
        <v>30</v>
      </c>
      <c r="F192" s="57">
        <f>+SUMIF(Compras[[#All],[Codigo de Producto]],Productos[[#All],[Codigo de Producto]],Compras[[#All],[Cantidad]])</f>
        <v>0</v>
      </c>
      <c r="G192" s="57">
        <f>+SUMIF(Ventas[[#All],[Codigo de Producto]],Productos[[#All],[Codigo de Producto]],Ventas[[#All],[Cantidad]])</f>
        <v>0</v>
      </c>
      <c r="H192" s="57">
        <f>+Productos[[#This Row],[Existencias Iniciales]]+Productos[[#This Row],[Entradas]]-Productos[[#This Row],[Salidas]]</f>
        <v>30</v>
      </c>
      <c r="I192">
        <v>37</v>
      </c>
      <c r="J192" s="57">
        <f>IF(Productos[[#This Row],[Stock]]&lt;0,"",+Productos[[#This Row],[Stock]]*Productos[[#This Row],[Costo Unitario]])</f>
        <v>1110</v>
      </c>
      <c r="K192">
        <v>55</v>
      </c>
      <c r="L192" s="57">
        <f>IF(Productos[[#This Row],[Stock]]&lt;0,"",+Productos[[#This Row],[Stock]]*Productos[[#This Row],[Precio Unitario]])</f>
        <v>1650</v>
      </c>
      <c r="M192" s="57">
        <f>IF(Productos[[#This Row],[Stock]]&lt;0,"",+Productos[[#This Row],[Total2]]-Productos[[#This Row],[Total]])</f>
        <v>540</v>
      </c>
    </row>
    <row r="193" spans="1:13" x14ac:dyDescent="0.25">
      <c r="A193" t="s">
        <v>697</v>
      </c>
      <c r="B193" t="s">
        <v>163</v>
      </c>
      <c r="C193" t="s">
        <v>55</v>
      </c>
      <c r="D193" t="s">
        <v>365</v>
      </c>
      <c r="E193">
        <f>18*1.625+(9/13*1.625)</f>
        <v>30.375</v>
      </c>
      <c r="F193">
        <f>+SUMIF(Compras[[#All],[Codigo de Producto]],Productos[[#All],[Codigo de Producto]],Compras[[#All],[Cantidad]])</f>
        <v>0</v>
      </c>
      <c r="G193">
        <f>+SUMIF(Ventas[[#All],[Codigo de Producto]],Productos[[#All],[Codigo de Producto]],Ventas[[#All],[Cantidad]])</f>
        <v>0</v>
      </c>
      <c r="H193">
        <f>+Productos[[#This Row],[Existencias Iniciales]]+Productos[[#This Row],[Entradas]]-Productos[[#This Row],[Salidas]]</f>
        <v>30.375</v>
      </c>
      <c r="I193">
        <v>163</v>
      </c>
      <c r="J193">
        <f>IF(Productos[[#This Row],[Stock]]&lt;0,"",+Productos[[#This Row],[Stock]]*Productos[[#This Row],[Costo Unitario]])</f>
        <v>4951.125</v>
      </c>
      <c r="K193">
        <v>270</v>
      </c>
      <c r="L193">
        <f>IF(Productos[[#This Row],[Stock]]&lt;0,"",+Productos[[#This Row],[Stock]]*Productos[[#This Row],[Precio Unitario]])</f>
        <v>8201.25</v>
      </c>
      <c r="M193">
        <f>IF(Productos[[#This Row],[Stock]]&lt;0,"",+Productos[[#This Row],[Total2]]-Productos[[#This Row],[Total]])</f>
        <v>3250.125</v>
      </c>
    </row>
    <row r="194" spans="1:13" x14ac:dyDescent="0.25">
      <c r="A194" t="s">
        <v>721</v>
      </c>
      <c r="B194" t="s">
        <v>198</v>
      </c>
      <c r="C194" t="s">
        <v>44</v>
      </c>
      <c r="D194" t="s">
        <v>725</v>
      </c>
      <c r="E194">
        <v>8</v>
      </c>
      <c r="F194" s="57">
        <f>+SUMIF(Compras[[#All],[Codigo de Producto]],Productos[[#All],[Codigo de Producto]],Compras[[#All],[Cantidad]])</f>
        <v>30</v>
      </c>
      <c r="G194" s="57">
        <f>+SUMIF(Ventas[[#All],[Codigo de Producto]],Productos[[#All],[Codigo de Producto]],Ventas[[#All],[Cantidad]])</f>
        <v>7</v>
      </c>
      <c r="H194" s="57">
        <f>+Productos[[#This Row],[Existencias Iniciales]]+Productos[[#This Row],[Entradas]]-Productos[[#This Row],[Salidas]]</f>
        <v>31</v>
      </c>
      <c r="I194">
        <v>22</v>
      </c>
      <c r="J194">
        <f>IF(Productos[[#This Row],[Stock]]&lt;0,"",+Productos[[#This Row],[Stock]]*Productos[[#This Row],[Costo Unitario]])</f>
        <v>682</v>
      </c>
      <c r="K194">
        <v>35</v>
      </c>
      <c r="L194" s="57">
        <f>IF(Productos[[#This Row],[Stock]]&lt;0,"",+Productos[[#This Row],[Stock]]*Productos[[#This Row],[Precio Unitario]])</f>
        <v>1085</v>
      </c>
      <c r="M194" s="57">
        <f>IF(Productos[[#This Row],[Stock]]&lt;0,"",+Productos[[#This Row],[Total2]]-Productos[[#This Row],[Total]])</f>
        <v>403</v>
      </c>
    </row>
    <row r="195" spans="1:13" x14ac:dyDescent="0.25">
      <c r="A195" t="s">
        <v>699</v>
      </c>
      <c r="B195" t="s">
        <v>167</v>
      </c>
      <c r="C195" t="s">
        <v>617</v>
      </c>
      <c r="D195" t="s">
        <v>685</v>
      </c>
      <c r="E195">
        <f>26*1.33+(11/9)</f>
        <v>35.80222222222222</v>
      </c>
      <c r="F195">
        <f>+SUMIF(Compras[[#All],[Codigo de Producto]],Productos[[#All],[Codigo de Producto]],Compras[[#All],[Cantidad]])</f>
        <v>0</v>
      </c>
      <c r="G195">
        <f>+SUMIF(Ventas[[#All],[Codigo de Producto]],Productos[[#All],[Codigo de Producto]],Ventas[[#All],[Cantidad]])</f>
        <v>2.7744444444444447</v>
      </c>
      <c r="H195">
        <f>+Productos[[#This Row],[Existencias Iniciales]]+Productos[[#This Row],[Entradas]]-Productos[[#This Row],[Salidas]]</f>
        <v>33.027777777777771</v>
      </c>
      <c r="I195">
        <v>268</v>
      </c>
      <c r="J195">
        <f>IF(Productos[[#This Row],[Stock]]&lt;0,"",+Productos[[#This Row],[Stock]]*Productos[[#This Row],[Costo Unitario]])</f>
        <v>8851.4444444444434</v>
      </c>
      <c r="K195">
        <v>300</v>
      </c>
      <c r="L195">
        <f>IF(Productos[[#This Row],[Stock]]&lt;0,"",+Productos[[#This Row],[Stock]]*Productos[[#This Row],[Precio Unitario]])</f>
        <v>9908.3333333333321</v>
      </c>
      <c r="M195">
        <f>IF(Productos[[#This Row],[Stock]]&lt;0,"",+Productos[[#This Row],[Total2]]-Productos[[#This Row],[Total]])</f>
        <v>1056.8888888888887</v>
      </c>
    </row>
    <row r="196" spans="1:13" x14ac:dyDescent="0.25">
      <c r="A196" t="s">
        <v>738</v>
      </c>
      <c r="B196" t="s">
        <v>167</v>
      </c>
      <c r="C196" t="s">
        <v>617</v>
      </c>
      <c r="D196" t="s">
        <v>272</v>
      </c>
      <c r="F196" s="57">
        <f>+SUMIF(Compras[[#All],[Codigo de Producto]],Productos[[#All],[Codigo de Producto]],Compras[[#All],[Cantidad]])</f>
        <v>40</v>
      </c>
      <c r="G196" s="57">
        <f>+SUMIF(Ventas[[#All],[Codigo de Producto]],Productos[[#All],[Codigo de Producto]],Ventas[[#All],[Cantidad]])</f>
        <v>3.3888888888888884</v>
      </c>
      <c r="H196" s="57">
        <f>+Productos[[#This Row],[Existencias Iniciales]]+Productos[[#This Row],[Entradas]]-Productos[[#This Row],[Salidas]]</f>
        <v>36.611111111111114</v>
      </c>
      <c r="I196">
        <v>268</v>
      </c>
      <c r="J196">
        <f>IF(Productos[[#This Row],[Stock]]&lt;0,"",+Productos[[#This Row],[Stock]]*Productos[[#This Row],[Costo Unitario]])</f>
        <v>9811.7777777777792</v>
      </c>
      <c r="K196">
        <v>300</v>
      </c>
      <c r="L196" s="57">
        <f>IF(Productos[[#This Row],[Stock]]&lt;0,"",+Productos[[#This Row],[Stock]]*Productos[[#This Row],[Precio Unitario]])</f>
        <v>10983.333333333334</v>
      </c>
      <c r="M196" s="57">
        <f>IF(Productos[[#This Row],[Stock]]&lt;0,"",+Productos[[#This Row],[Total2]]-Productos[[#This Row],[Total]])</f>
        <v>1171.5555555555547</v>
      </c>
    </row>
    <row r="197" spans="1:13" x14ac:dyDescent="0.25">
      <c r="A197" t="s">
        <v>899</v>
      </c>
      <c r="B197" t="s">
        <v>167</v>
      </c>
      <c r="C197" t="s">
        <v>55</v>
      </c>
      <c r="D197" t="s">
        <v>900</v>
      </c>
      <c r="F197" s="57">
        <f>+SUMIF(Compras[[#All],[Codigo de Producto]],Productos[[#All],[Codigo de Producto]],Compras[[#All],[Cantidad]])</f>
        <v>50</v>
      </c>
      <c r="G197" s="57">
        <f>+SUMIF(Ventas[[#All],[Codigo de Producto]],Productos[[#All],[Codigo de Producto]],Ventas[[#All],[Cantidad]])</f>
        <v>4</v>
      </c>
      <c r="H197" s="57">
        <f>+Productos[[#This Row],[Existencias Iniciales]]+Productos[[#This Row],[Entradas]]-Productos[[#This Row],[Salidas]]</f>
        <v>46</v>
      </c>
      <c r="I197">
        <f ca="1">+SUMIF(Compras[[#All],[Codigo de Producto]],Productos[[#All],[Codigo de Producto]],Compras[[#Headers],[Precio]])</f>
        <v>207</v>
      </c>
      <c r="J197" s="57">
        <f ca="1">IF(Productos[[#This Row],[Stock]]&lt;0,"",+Productos[[#This Row],[Stock]]*Productos[[#This Row],[Costo Unitario]])</f>
        <v>9522</v>
      </c>
      <c r="K197">
        <v>270</v>
      </c>
      <c r="L197" s="57">
        <f>IF(Productos[[#This Row],[Stock]]&lt;0,"",+Productos[[#This Row],[Stock]]*Productos[[#This Row],[Precio Unitario]])</f>
        <v>12420</v>
      </c>
      <c r="M197" s="57">
        <f ca="1">IF(Productos[[#This Row],[Stock]]&lt;0,"",+Productos[[#This Row],[Total2]]-Productos[[#This Row],[Total]])</f>
        <v>2898</v>
      </c>
    </row>
    <row r="198" spans="1:13" x14ac:dyDescent="0.25">
      <c r="A198" t="s">
        <v>845</v>
      </c>
      <c r="B198" t="s">
        <v>163</v>
      </c>
      <c r="C198" t="s">
        <v>617</v>
      </c>
      <c r="D198" t="s">
        <v>844</v>
      </c>
      <c r="F198" s="57">
        <f>+SUMIF(Compras[[#All],[Codigo de Producto]],Productos[[#All],[Codigo de Producto]],Compras[[#All],[Cantidad]])</f>
        <v>85</v>
      </c>
      <c r="G198" s="57">
        <f>+SUMIF(Ventas[[#All],[Codigo de Producto]],Productos[[#All],[Codigo de Producto]],Ventas[[#All],[Cantidad]])</f>
        <v>4</v>
      </c>
      <c r="H198" s="57">
        <f>+Productos[[#This Row],[Existencias Iniciales]]+Productos[[#This Row],[Entradas]]-Productos[[#This Row],[Salidas]]</f>
        <v>81</v>
      </c>
      <c r="I198">
        <f ca="1">+SUMIF(Compras[[#All],[Codigo de Producto]],Productos[[#All],[Codigo de Producto]],Compras[[#Headers],[Precio]])</f>
        <v>242</v>
      </c>
      <c r="J198" s="57">
        <f ca="1">IF(Productos[[#This Row],[Stock]]&lt;0,"",+Productos[[#This Row],[Stock]]*Productos[[#This Row],[Costo Unitario]])</f>
        <v>19602</v>
      </c>
      <c r="K198">
        <v>280</v>
      </c>
      <c r="L198" s="57">
        <f>IF(Productos[[#This Row],[Stock]]&lt;0,"",+Productos[[#This Row],[Stock]]*Productos[[#This Row],[Precio Unitario]])</f>
        <v>22680</v>
      </c>
      <c r="M198" s="57">
        <f ca="1">IF(Productos[[#This Row],[Stock]]&lt;0,"",+Productos[[#This Row],[Total2]]-Productos[[#This Row],[Total]])</f>
        <v>3078</v>
      </c>
    </row>
    <row r="199" spans="1:13" x14ac:dyDescent="0.25">
      <c r="A199" t="s">
        <v>905</v>
      </c>
      <c r="B199" t="s">
        <v>163</v>
      </c>
      <c r="C199" t="s">
        <v>617</v>
      </c>
      <c r="D199" t="s">
        <v>20</v>
      </c>
      <c r="F199" s="57">
        <f>+SUMIF(Compras[[#All],[Codigo de Producto]],Productos[[#All],[Codigo de Producto]],Compras[[#All],[Cantidad]])</f>
        <v>200</v>
      </c>
      <c r="G199" s="57">
        <f>+SUMIF(Ventas[[#All],[Codigo de Producto]],Productos[[#All],[Codigo de Producto]],Ventas[[#All],[Cantidad]])</f>
        <v>49.5</v>
      </c>
      <c r="H199" s="57">
        <f>+Productos[[#This Row],[Existencias Iniciales]]+Productos[[#This Row],[Entradas]]-Productos[[#This Row],[Salidas]]</f>
        <v>150.5</v>
      </c>
      <c r="I199">
        <f ca="1">+SUMIF(Compras[[#All],[Codigo de Producto]],Productos[[#All],[Codigo de Producto]],Compras[[#Headers],[Precio]])</f>
        <v>237</v>
      </c>
      <c r="J199" s="57">
        <f ca="1">IF(Productos[[#This Row],[Stock]]&lt;0,"",+Productos[[#This Row],[Stock]]*Productos[[#This Row],[Costo Unitario]])</f>
        <v>35668.5</v>
      </c>
      <c r="K199">
        <v>270</v>
      </c>
      <c r="L199" s="57">
        <f>IF(Productos[[#This Row],[Stock]]&lt;0,"",+Productos[[#This Row],[Stock]]*Productos[[#This Row],[Precio Unitario]])</f>
        <v>40635</v>
      </c>
      <c r="M199" s="57">
        <f ca="1">IF(Productos[[#This Row],[Stock]]&lt;0,"",+Productos[[#This Row],[Total2]]-Productos[[#This Row],[Total]])</f>
        <v>4966.5</v>
      </c>
    </row>
    <row r="200" spans="1:13" x14ac:dyDescent="0.25">
      <c r="A200" t="s">
        <v>708</v>
      </c>
      <c r="B200" t="s">
        <v>165</v>
      </c>
      <c r="C200" t="s">
        <v>25</v>
      </c>
      <c r="D200" t="s">
        <v>687</v>
      </c>
      <c r="E200">
        <v>194</v>
      </c>
      <c r="F200">
        <f>+SUMIF(Compras[[#All],[Codigo de Producto]],Productos[[#All],[Codigo de Producto]],Compras[[#All],[Cantidad]])</f>
        <v>216</v>
      </c>
      <c r="G200">
        <f>+SUMIF(Ventas[[#All],[Codigo de Producto]],Productos[[#All],[Codigo de Producto]],Ventas[[#All],[Cantidad]])</f>
        <v>187</v>
      </c>
      <c r="H200">
        <f>+Productos[[#This Row],[Existencias Iniciales]]+Productos[[#This Row],[Entradas]]-Productos[[#This Row],[Salidas]]</f>
        <v>223</v>
      </c>
      <c r="I200">
        <f>400/12</f>
        <v>33.333333333333336</v>
      </c>
      <c r="J200">
        <f>IF(Productos[[#This Row],[Stock]]&lt;0,"",+Productos[[#This Row],[Stock]]*Productos[[#This Row],[Costo Unitario]])</f>
        <v>7433.3333333333339</v>
      </c>
      <c r="K200">
        <v>60</v>
      </c>
      <c r="L200">
        <f>IF(Productos[[#This Row],[Stock]]&lt;0,"",+Productos[[#This Row],[Stock]]*Productos[[#This Row],[Precio Unitario]])</f>
        <v>13380</v>
      </c>
      <c r="M200">
        <f>IF(Productos[[#This Row],[Stock]]&lt;0,"",+Productos[[#This Row],[Total2]]-Productos[[#This Row],[Total]])</f>
        <v>5946.6666666666661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83"/>
  <sheetViews>
    <sheetView workbookViewId="0">
      <pane ySplit="1" topLeftCell="A668" activePane="bottomLeft" state="frozen"/>
      <selection activeCell="B1" sqref="B1"/>
      <selection pane="bottomLeft" activeCell="G690" sqref="G690"/>
    </sheetView>
  </sheetViews>
  <sheetFormatPr baseColWidth="10" defaultRowHeight="15" x14ac:dyDescent="0.25"/>
  <cols>
    <col min="4" max="4" width="15.5703125" customWidth="1"/>
    <col min="5" max="5" width="11.5703125" bestFit="1" customWidth="1"/>
    <col min="6" max="6" width="20.7109375" bestFit="1" customWidth="1"/>
    <col min="7" max="7" width="42.42578125" bestFit="1" customWidth="1"/>
    <col min="9" max="9" width="12.5703125" bestFit="1" customWidth="1"/>
    <col min="10" max="10" width="15" bestFit="1" customWidth="1"/>
    <col min="11" max="11" width="17.140625" customWidth="1"/>
    <col min="12" max="12" width="16" customWidth="1"/>
    <col min="13" max="13" width="16.85546875" customWidth="1"/>
    <col min="15" max="15" width="12.7109375" bestFit="1" customWidth="1"/>
  </cols>
  <sheetData>
    <row r="1" spans="1:15" x14ac:dyDescent="0.25">
      <c r="A1" s="2" t="s">
        <v>0</v>
      </c>
      <c r="B1" s="2" t="s">
        <v>1</v>
      </c>
      <c r="C1" s="2" t="s">
        <v>7</v>
      </c>
      <c r="D1" s="2" t="s">
        <v>6</v>
      </c>
      <c r="E1" s="2" t="s">
        <v>12</v>
      </c>
      <c r="F1" s="2" t="s">
        <v>608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  <c r="M1" s="2" t="s">
        <v>11</v>
      </c>
      <c r="N1" s="2" t="s">
        <v>18</v>
      </c>
      <c r="O1" s="2" t="s">
        <v>11</v>
      </c>
    </row>
    <row r="2" spans="1:15" hidden="1" x14ac:dyDescent="0.25">
      <c r="A2">
        <v>1</v>
      </c>
      <c r="B2" s="1">
        <v>43801</v>
      </c>
      <c r="C2" t="str">
        <f t="shared" ref="C2:C65" si="0">+TEXT(B2,"mmmm")</f>
        <v>diciembre</v>
      </c>
      <c r="D2" t="s">
        <v>187</v>
      </c>
      <c r="E2" t="s">
        <v>23</v>
      </c>
      <c r="G2" t="s">
        <v>188</v>
      </c>
      <c r="H2">
        <v>10</v>
      </c>
      <c r="I2">
        <v>41.74</v>
      </c>
      <c r="J2" s="9">
        <f t="shared" ref="J2:J65" si="1">+H2*I2</f>
        <v>417.40000000000003</v>
      </c>
      <c r="K2" s="9">
        <v>60</v>
      </c>
      <c r="L2" s="7">
        <f t="shared" ref="L2:L65" si="2">+H2*K2</f>
        <v>600</v>
      </c>
      <c r="M2" s="7">
        <f t="shared" ref="M2:M65" si="3">+L2-J2</f>
        <v>182.59999999999997</v>
      </c>
      <c r="O2" s="4">
        <f>+M2-N2</f>
        <v>182.59999999999997</v>
      </c>
    </row>
    <row r="3" spans="1:15" hidden="1" x14ac:dyDescent="0.25">
      <c r="A3">
        <v>2</v>
      </c>
      <c r="B3" s="1">
        <v>43801</v>
      </c>
      <c r="C3" t="str">
        <f t="shared" si="0"/>
        <v>diciembre</v>
      </c>
      <c r="D3" t="s">
        <v>187</v>
      </c>
      <c r="E3" t="s">
        <v>23</v>
      </c>
      <c r="G3" t="s">
        <v>189</v>
      </c>
      <c r="H3">
        <v>2</v>
      </c>
      <c r="I3">
        <v>129.57</v>
      </c>
      <c r="J3" s="9">
        <f t="shared" si="1"/>
        <v>259.14</v>
      </c>
      <c r="K3" s="9">
        <v>250</v>
      </c>
      <c r="L3" s="7">
        <f t="shared" si="2"/>
        <v>500</v>
      </c>
      <c r="M3" s="7">
        <f t="shared" si="3"/>
        <v>240.86</v>
      </c>
      <c r="O3" s="4">
        <f>+M3-N3</f>
        <v>240.86</v>
      </c>
    </row>
    <row r="4" spans="1:15" hidden="1" x14ac:dyDescent="0.25">
      <c r="A4">
        <v>3</v>
      </c>
      <c r="B4" s="1">
        <v>43801</v>
      </c>
      <c r="C4" t="str">
        <f t="shared" si="0"/>
        <v>diciembre</v>
      </c>
      <c r="D4" t="s">
        <v>187</v>
      </c>
      <c r="E4" t="s">
        <v>23</v>
      </c>
      <c r="G4" t="s">
        <v>66</v>
      </c>
      <c r="H4">
        <v>10</v>
      </c>
      <c r="I4">
        <v>87.83</v>
      </c>
      <c r="J4" s="9">
        <f t="shared" si="1"/>
        <v>878.3</v>
      </c>
      <c r="K4" s="9">
        <v>120</v>
      </c>
      <c r="L4" s="7">
        <f t="shared" si="2"/>
        <v>1200</v>
      </c>
      <c r="M4" s="7">
        <f t="shared" si="3"/>
        <v>321.70000000000005</v>
      </c>
      <c r="O4" s="4">
        <f>+M4-N4</f>
        <v>321.70000000000005</v>
      </c>
    </row>
    <row r="5" spans="1:15" hidden="1" x14ac:dyDescent="0.25">
      <c r="A5">
        <v>4</v>
      </c>
      <c r="B5" s="1">
        <v>43804</v>
      </c>
      <c r="C5" t="str">
        <f t="shared" si="0"/>
        <v>diciembre</v>
      </c>
      <c r="D5" t="s">
        <v>166</v>
      </c>
      <c r="E5" t="s">
        <v>85</v>
      </c>
      <c r="G5" t="s">
        <v>177</v>
      </c>
      <c r="H5">
        <v>1</v>
      </c>
      <c r="I5">
        <f>276.53*1.15</f>
        <v>318.00949999999995</v>
      </c>
      <c r="J5" s="9">
        <f t="shared" si="1"/>
        <v>318.00949999999995</v>
      </c>
      <c r="K5" s="9">
        <v>500</v>
      </c>
      <c r="L5" s="7">
        <f t="shared" si="2"/>
        <v>500</v>
      </c>
      <c r="M5" s="7">
        <f t="shared" si="3"/>
        <v>181.99050000000005</v>
      </c>
      <c r="O5" s="4">
        <f>+M5-N5</f>
        <v>181.99050000000005</v>
      </c>
    </row>
    <row r="6" spans="1:15" hidden="1" x14ac:dyDescent="0.25">
      <c r="A6">
        <v>5</v>
      </c>
      <c r="B6" s="1">
        <v>43804</v>
      </c>
      <c r="C6" t="str">
        <f t="shared" si="0"/>
        <v>diciembre</v>
      </c>
      <c r="D6" t="s">
        <v>166</v>
      </c>
      <c r="E6" t="s">
        <v>78</v>
      </c>
      <c r="G6" t="s">
        <v>178</v>
      </c>
      <c r="H6">
        <v>2</v>
      </c>
      <c r="I6">
        <f>448.97*1.15</f>
        <v>516.31550000000004</v>
      </c>
      <c r="J6" s="9">
        <f t="shared" si="1"/>
        <v>1032.6310000000001</v>
      </c>
      <c r="K6" s="9">
        <v>720</v>
      </c>
      <c r="L6" s="7">
        <f t="shared" si="2"/>
        <v>1440</v>
      </c>
      <c r="M6" s="7">
        <f t="shared" si="3"/>
        <v>407.36899999999991</v>
      </c>
    </row>
    <row r="7" spans="1:15" hidden="1" x14ac:dyDescent="0.25">
      <c r="A7">
        <v>6</v>
      </c>
      <c r="B7" s="1">
        <v>43804</v>
      </c>
      <c r="C7" t="str">
        <f t="shared" si="0"/>
        <v>diciembre</v>
      </c>
      <c r="D7" t="s">
        <v>166</v>
      </c>
      <c r="E7" t="s">
        <v>44</v>
      </c>
      <c r="G7" t="s">
        <v>179</v>
      </c>
      <c r="H7">
        <v>20</v>
      </c>
      <c r="I7">
        <f>15.14*1.15</f>
        <v>17.410999999999998</v>
      </c>
      <c r="J7" s="9">
        <f t="shared" si="1"/>
        <v>348.21999999999997</v>
      </c>
      <c r="K7" s="9">
        <v>35</v>
      </c>
      <c r="L7" s="7">
        <f t="shared" si="2"/>
        <v>700</v>
      </c>
      <c r="M7" s="7">
        <f t="shared" si="3"/>
        <v>351.78000000000003</v>
      </c>
    </row>
    <row r="8" spans="1:15" hidden="1" x14ac:dyDescent="0.25">
      <c r="A8">
        <v>7</v>
      </c>
      <c r="B8" s="1">
        <v>43804</v>
      </c>
      <c r="C8" t="str">
        <f t="shared" si="0"/>
        <v>diciembre</v>
      </c>
      <c r="D8" t="s">
        <v>166</v>
      </c>
      <c r="E8" t="s">
        <v>44</v>
      </c>
      <c r="G8" t="s">
        <v>180</v>
      </c>
      <c r="H8">
        <v>10</v>
      </c>
      <c r="I8">
        <f>16.82*1.15</f>
        <v>19.343</v>
      </c>
      <c r="J8" s="9">
        <f t="shared" si="1"/>
        <v>193.43</v>
      </c>
      <c r="K8" s="9">
        <v>35</v>
      </c>
      <c r="L8" s="7">
        <f t="shared" si="2"/>
        <v>350</v>
      </c>
      <c r="M8" s="7">
        <f t="shared" si="3"/>
        <v>156.57</v>
      </c>
    </row>
    <row r="9" spans="1:15" hidden="1" x14ac:dyDescent="0.25">
      <c r="A9">
        <v>8</v>
      </c>
      <c r="B9" s="1">
        <v>43804</v>
      </c>
      <c r="C9" t="str">
        <f t="shared" si="0"/>
        <v>diciembre</v>
      </c>
      <c r="D9" t="s">
        <v>166</v>
      </c>
      <c r="E9" t="s">
        <v>85</v>
      </c>
      <c r="G9" t="s">
        <v>181</v>
      </c>
      <c r="H9">
        <v>10</v>
      </c>
      <c r="I9">
        <f>37.21*1.15</f>
        <v>42.791499999999999</v>
      </c>
      <c r="J9" s="9">
        <f t="shared" si="1"/>
        <v>427.91499999999996</v>
      </c>
      <c r="K9" s="9">
        <v>90</v>
      </c>
      <c r="L9" s="7">
        <f t="shared" si="2"/>
        <v>900</v>
      </c>
      <c r="M9" s="7">
        <f t="shared" si="3"/>
        <v>472.08500000000004</v>
      </c>
    </row>
    <row r="10" spans="1:15" hidden="1" x14ac:dyDescent="0.25">
      <c r="A10">
        <v>9</v>
      </c>
      <c r="B10" s="1">
        <v>43804</v>
      </c>
      <c r="C10" t="str">
        <f t="shared" si="0"/>
        <v>diciembre</v>
      </c>
      <c r="D10" t="s">
        <v>166</v>
      </c>
      <c r="E10" t="s">
        <v>92</v>
      </c>
      <c r="G10" t="s">
        <v>182</v>
      </c>
      <c r="H10">
        <v>4</v>
      </c>
      <c r="I10">
        <f>77.27*1.15</f>
        <v>88.860499999999988</v>
      </c>
      <c r="J10" s="9">
        <f t="shared" si="1"/>
        <v>355.44199999999995</v>
      </c>
      <c r="K10" s="9">
        <v>100</v>
      </c>
      <c r="L10" s="7">
        <f t="shared" si="2"/>
        <v>400</v>
      </c>
      <c r="M10" s="7">
        <f t="shared" si="3"/>
        <v>44.55800000000005</v>
      </c>
    </row>
    <row r="11" spans="1:15" hidden="1" x14ac:dyDescent="0.25">
      <c r="A11">
        <v>10</v>
      </c>
      <c r="B11" s="1">
        <v>43806</v>
      </c>
      <c r="C11" t="str">
        <f t="shared" si="0"/>
        <v>diciembre</v>
      </c>
      <c r="D11" t="s">
        <v>198</v>
      </c>
      <c r="E11" t="s">
        <v>78</v>
      </c>
      <c r="G11" t="s">
        <v>195</v>
      </c>
      <c r="H11">
        <v>1</v>
      </c>
      <c r="I11">
        <v>750</v>
      </c>
      <c r="J11" s="9">
        <f t="shared" si="1"/>
        <v>750</v>
      </c>
      <c r="K11" s="9">
        <v>1000</v>
      </c>
      <c r="L11" s="7">
        <f t="shared" si="2"/>
        <v>1000</v>
      </c>
      <c r="M11" s="7">
        <f t="shared" si="3"/>
        <v>250</v>
      </c>
    </row>
    <row r="12" spans="1:15" hidden="1" x14ac:dyDescent="0.25">
      <c r="A12">
        <v>11</v>
      </c>
      <c r="B12" s="1">
        <v>43806</v>
      </c>
      <c r="C12" t="str">
        <f t="shared" si="0"/>
        <v>diciembre</v>
      </c>
      <c r="D12" t="s">
        <v>198</v>
      </c>
      <c r="E12" t="s">
        <v>78</v>
      </c>
      <c r="G12" t="s">
        <v>196</v>
      </c>
      <c r="H12">
        <v>1</v>
      </c>
      <c r="I12">
        <v>750</v>
      </c>
      <c r="J12" s="9">
        <f t="shared" si="1"/>
        <v>750</v>
      </c>
      <c r="K12" s="9">
        <v>1000</v>
      </c>
      <c r="L12" s="7">
        <f t="shared" si="2"/>
        <v>1000</v>
      </c>
      <c r="M12" s="7">
        <f t="shared" si="3"/>
        <v>250</v>
      </c>
    </row>
    <row r="13" spans="1:15" hidden="1" x14ac:dyDescent="0.25">
      <c r="A13">
        <v>12</v>
      </c>
      <c r="B13" s="1">
        <v>43806</v>
      </c>
      <c r="C13" t="str">
        <f t="shared" si="0"/>
        <v>diciembre</v>
      </c>
      <c r="D13" t="s">
        <v>198</v>
      </c>
      <c r="E13" t="s">
        <v>70</v>
      </c>
      <c r="G13" t="s">
        <v>30</v>
      </c>
      <c r="H13">
        <v>3</v>
      </c>
      <c r="I13">
        <v>167</v>
      </c>
      <c r="J13" s="9">
        <f t="shared" si="1"/>
        <v>501</v>
      </c>
      <c r="K13" s="9">
        <v>230</v>
      </c>
      <c r="L13" s="7">
        <f t="shared" si="2"/>
        <v>690</v>
      </c>
      <c r="M13" s="7">
        <f t="shared" si="3"/>
        <v>189</v>
      </c>
    </row>
    <row r="14" spans="1:15" hidden="1" x14ac:dyDescent="0.25">
      <c r="A14">
        <v>13</v>
      </c>
      <c r="B14" s="1">
        <v>43806</v>
      </c>
      <c r="C14" t="str">
        <f t="shared" si="0"/>
        <v>diciembre</v>
      </c>
      <c r="D14" t="s">
        <v>198</v>
      </c>
      <c r="E14" t="s">
        <v>44</v>
      </c>
      <c r="G14" t="s">
        <v>138</v>
      </c>
      <c r="H14">
        <v>30</v>
      </c>
      <c r="I14">
        <v>24.5</v>
      </c>
      <c r="J14" s="9">
        <f t="shared" si="1"/>
        <v>735</v>
      </c>
      <c r="K14" s="9">
        <v>35</v>
      </c>
      <c r="L14" s="7">
        <f t="shared" si="2"/>
        <v>1050</v>
      </c>
      <c r="M14" s="7">
        <f t="shared" si="3"/>
        <v>315</v>
      </c>
    </row>
    <row r="15" spans="1:15" hidden="1" x14ac:dyDescent="0.25">
      <c r="A15">
        <v>14</v>
      </c>
      <c r="B15" s="1">
        <v>43806</v>
      </c>
      <c r="C15" t="str">
        <f t="shared" si="0"/>
        <v>diciembre</v>
      </c>
      <c r="D15" t="s">
        <v>198</v>
      </c>
      <c r="E15" t="s">
        <v>85</v>
      </c>
      <c r="G15" t="s">
        <v>197</v>
      </c>
      <c r="H15">
        <v>5</v>
      </c>
      <c r="I15">
        <v>72</v>
      </c>
      <c r="J15" s="9">
        <f t="shared" si="1"/>
        <v>360</v>
      </c>
      <c r="K15" s="9">
        <v>100</v>
      </c>
      <c r="L15" s="7">
        <f t="shared" si="2"/>
        <v>500</v>
      </c>
      <c r="M15" s="7">
        <f t="shared" si="3"/>
        <v>140</v>
      </c>
    </row>
    <row r="16" spans="1:15" hidden="1" x14ac:dyDescent="0.25">
      <c r="A16">
        <v>15</v>
      </c>
      <c r="B16" s="1">
        <v>43817</v>
      </c>
      <c r="C16" t="str">
        <f t="shared" si="0"/>
        <v>diciembre</v>
      </c>
      <c r="D16" t="s">
        <v>166</v>
      </c>
      <c r="E16" t="s">
        <v>78</v>
      </c>
      <c r="G16" t="s">
        <v>183</v>
      </c>
      <c r="H16">
        <v>2</v>
      </c>
      <c r="I16">
        <f>437.13*1.15</f>
        <v>502.69949999999994</v>
      </c>
      <c r="J16" s="9">
        <f t="shared" si="1"/>
        <v>1005.3989999999999</v>
      </c>
      <c r="K16" s="9">
        <v>720</v>
      </c>
      <c r="L16" s="7">
        <f t="shared" si="2"/>
        <v>1440</v>
      </c>
      <c r="M16" s="7">
        <f t="shared" si="3"/>
        <v>434.60100000000011</v>
      </c>
    </row>
    <row r="17" spans="1:13" hidden="1" x14ac:dyDescent="0.25">
      <c r="A17">
        <v>16</v>
      </c>
      <c r="B17" s="1">
        <v>43817</v>
      </c>
      <c r="C17" t="str">
        <f t="shared" si="0"/>
        <v>diciembre</v>
      </c>
      <c r="D17" t="s">
        <v>166</v>
      </c>
      <c r="E17" t="s">
        <v>92</v>
      </c>
      <c r="G17" t="s">
        <v>184</v>
      </c>
      <c r="H17">
        <v>2</v>
      </c>
      <c r="I17">
        <f>231.59*1.15</f>
        <v>266.32849999999996</v>
      </c>
      <c r="J17" s="9">
        <f t="shared" si="1"/>
        <v>532.65699999999993</v>
      </c>
      <c r="K17" s="9">
        <v>300</v>
      </c>
      <c r="L17" s="7">
        <f t="shared" si="2"/>
        <v>600</v>
      </c>
      <c r="M17" s="7">
        <f t="shared" si="3"/>
        <v>67.343000000000075</v>
      </c>
    </row>
    <row r="18" spans="1:13" hidden="1" x14ac:dyDescent="0.25">
      <c r="A18">
        <v>17</v>
      </c>
      <c r="B18" s="1">
        <v>43817</v>
      </c>
      <c r="C18" t="str">
        <f t="shared" si="0"/>
        <v>diciembre</v>
      </c>
      <c r="D18" t="s">
        <v>166</v>
      </c>
      <c r="E18" t="s">
        <v>92</v>
      </c>
      <c r="G18" t="s">
        <v>185</v>
      </c>
      <c r="H18">
        <v>2</v>
      </c>
      <c r="I18">
        <f>214.39*1.15</f>
        <v>246.54849999999996</v>
      </c>
      <c r="J18" s="9">
        <f t="shared" si="1"/>
        <v>493.09699999999992</v>
      </c>
      <c r="K18" s="9">
        <v>300</v>
      </c>
      <c r="L18" s="7">
        <f t="shared" si="2"/>
        <v>600</v>
      </c>
      <c r="M18" s="7">
        <f t="shared" si="3"/>
        <v>106.90300000000008</v>
      </c>
    </row>
    <row r="19" spans="1:13" hidden="1" x14ac:dyDescent="0.25">
      <c r="A19">
        <v>18</v>
      </c>
      <c r="B19" s="1">
        <v>43817</v>
      </c>
      <c r="C19" t="str">
        <f t="shared" si="0"/>
        <v>diciembre</v>
      </c>
      <c r="D19" t="s">
        <v>166</v>
      </c>
      <c r="E19" t="s">
        <v>44</v>
      </c>
      <c r="G19" t="s">
        <v>179</v>
      </c>
      <c r="H19">
        <v>20</v>
      </c>
      <c r="I19">
        <f>15.14*1.15</f>
        <v>17.410999999999998</v>
      </c>
      <c r="J19" s="9">
        <f t="shared" si="1"/>
        <v>348.21999999999997</v>
      </c>
      <c r="K19">
        <v>35</v>
      </c>
      <c r="L19" s="7">
        <f t="shared" si="2"/>
        <v>700</v>
      </c>
      <c r="M19" s="7">
        <f t="shared" si="3"/>
        <v>351.78000000000003</v>
      </c>
    </row>
    <row r="20" spans="1:13" hidden="1" x14ac:dyDescent="0.25">
      <c r="A20">
        <v>19</v>
      </c>
      <c r="B20" s="1">
        <v>43817</v>
      </c>
      <c r="C20" t="str">
        <f t="shared" si="0"/>
        <v>diciembre</v>
      </c>
      <c r="D20" t="s">
        <v>186</v>
      </c>
      <c r="E20" t="s">
        <v>24</v>
      </c>
      <c r="G20" t="s">
        <v>24</v>
      </c>
      <c r="H20">
        <v>12</v>
      </c>
      <c r="I20">
        <v>85.426599999999993</v>
      </c>
      <c r="J20" s="9">
        <f t="shared" si="1"/>
        <v>1025.1191999999999</v>
      </c>
      <c r="K20" s="9">
        <v>100</v>
      </c>
      <c r="L20" s="7">
        <f t="shared" si="2"/>
        <v>1200</v>
      </c>
      <c r="M20" s="7">
        <f t="shared" si="3"/>
        <v>174.88080000000014</v>
      </c>
    </row>
    <row r="21" spans="1:13" hidden="1" x14ac:dyDescent="0.25">
      <c r="A21">
        <v>20</v>
      </c>
      <c r="B21" s="1">
        <v>43817</v>
      </c>
      <c r="C21" t="str">
        <f t="shared" si="0"/>
        <v>diciembre</v>
      </c>
      <c r="D21" t="s">
        <v>186</v>
      </c>
      <c r="E21" t="s">
        <v>24</v>
      </c>
      <c r="G21" t="s">
        <v>24</v>
      </c>
      <c r="H21">
        <f>12*4</f>
        <v>48</v>
      </c>
      <c r="I21">
        <v>68.22</v>
      </c>
      <c r="J21" s="9">
        <f t="shared" si="1"/>
        <v>3274.56</v>
      </c>
      <c r="K21" s="9">
        <v>100</v>
      </c>
      <c r="L21" s="7">
        <f t="shared" si="2"/>
        <v>4800</v>
      </c>
      <c r="M21" s="7">
        <f t="shared" si="3"/>
        <v>1525.44</v>
      </c>
    </row>
    <row r="22" spans="1:13" hidden="1" x14ac:dyDescent="0.25">
      <c r="A22">
        <v>1</v>
      </c>
      <c r="B22" s="1">
        <v>43832</v>
      </c>
      <c r="C22" t="str">
        <f t="shared" si="0"/>
        <v>enero</v>
      </c>
      <c r="D22" t="s">
        <v>13</v>
      </c>
      <c r="E22" t="s">
        <v>55</v>
      </c>
      <c r="G22" t="s">
        <v>102</v>
      </c>
      <c r="H22">
        <v>3</v>
      </c>
      <c r="I22">
        <v>271</v>
      </c>
      <c r="J22" s="9">
        <f t="shared" si="1"/>
        <v>813</v>
      </c>
      <c r="K22" s="9">
        <v>290</v>
      </c>
      <c r="L22" s="4">
        <f t="shared" si="2"/>
        <v>870</v>
      </c>
      <c r="M22" s="4">
        <f t="shared" si="3"/>
        <v>57</v>
      </c>
    </row>
    <row r="23" spans="1:13" hidden="1" x14ac:dyDescent="0.25">
      <c r="A23">
        <v>2</v>
      </c>
      <c r="B23" s="1">
        <v>43832</v>
      </c>
      <c r="C23" t="str">
        <f t="shared" si="0"/>
        <v>enero</v>
      </c>
      <c r="D23" t="s">
        <v>13</v>
      </c>
      <c r="E23" t="s">
        <v>55</v>
      </c>
      <c r="G23" t="s">
        <v>103</v>
      </c>
      <c r="H23">
        <v>8</v>
      </c>
      <c r="I23">
        <v>271</v>
      </c>
      <c r="J23" s="9">
        <f t="shared" si="1"/>
        <v>2168</v>
      </c>
      <c r="K23" s="9">
        <v>290</v>
      </c>
      <c r="L23" s="4">
        <f t="shared" si="2"/>
        <v>2320</v>
      </c>
      <c r="M23" s="4">
        <f t="shared" si="3"/>
        <v>152</v>
      </c>
    </row>
    <row r="24" spans="1:13" hidden="1" x14ac:dyDescent="0.25">
      <c r="A24">
        <v>3</v>
      </c>
      <c r="B24" s="1">
        <v>43833</v>
      </c>
      <c r="C24" t="str">
        <f t="shared" si="0"/>
        <v>enero</v>
      </c>
      <c r="D24" t="s">
        <v>99</v>
      </c>
      <c r="E24" t="s">
        <v>26</v>
      </c>
      <c r="G24" t="s">
        <v>100</v>
      </c>
      <c r="H24">
        <v>1.44</v>
      </c>
      <c r="I24">
        <v>330</v>
      </c>
      <c r="J24" s="9">
        <f t="shared" si="1"/>
        <v>475.2</v>
      </c>
      <c r="K24" s="9">
        <v>380</v>
      </c>
      <c r="L24" s="4">
        <f t="shared" si="2"/>
        <v>547.19999999999993</v>
      </c>
      <c r="M24" s="4">
        <f t="shared" si="3"/>
        <v>71.999999999999943</v>
      </c>
    </row>
    <row r="25" spans="1:13" hidden="1" x14ac:dyDescent="0.25">
      <c r="A25">
        <v>4</v>
      </c>
      <c r="B25" s="1">
        <v>43833</v>
      </c>
      <c r="C25" t="str">
        <f t="shared" si="0"/>
        <v>enero</v>
      </c>
      <c r="D25" t="s">
        <v>13</v>
      </c>
      <c r="E25" t="s">
        <v>15</v>
      </c>
      <c r="G25" t="s">
        <v>104</v>
      </c>
      <c r="H25">
        <v>5.32</v>
      </c>
      <c r="I25">
        <v>271</v>
      </c>
      <c r="J25" s="9">
        <f t="shared" si="1"/>
        <v>1441.72</v>
      </c>
      <c r="K25" s="9">
        <v>290</v>
      </c>
      <c r="L25" s="4">
        <f t="shared" si="2"/>
        <v>1542.8000000000002</v>
      </c>
      <c r="M25" s="4">
        <f t="shared" si="3"/>
        <v>101.08000000000015</v>
      </c>
    </row>
    <row r="26" spans="1:13" hidden="1" x14ac:dyDescent="0.25">
      <c r="A26">
        <v>5</v>
      </c>
      <c r="B26" s="1">
        <v>43833</v>
      </c>
      <c r="C26" t="str">
        <f t="shared" si="0"/>
        <v>enero</v>
      </c>
      <c r="D26" t="s">
        <v>13</v>
      </c>
      <c r="E26" t="s">
        <v>55</v>
      </c>
      <c r="G26" t="s">
        <v>22</v>
      </c>
      <c r="H26">
        <v>2</v>
      </c>
      <c r="I26">
        <v>271</v>
      </c>
      <c r="J26" s="9">
        <f t="shared" si="1"/>
        <v>542</v>
      </c>
      <c r="K26" s="9">
        <v>290</v>
      </c>
      <c r="L26" s="4">
        <f t="shared" si="2"/>
        <v>580</v>
      </c>
      <c r="M26" s="4">
        <f t="shared" si="3"/>
        <v>38</v>
      </c>
    </row>
    <row r="27" spans="1:13" hidden="1" x14ac:dyDescent="0.25">
      <c r="A27">
        <v>6</v>
      </c>
      <c r="B27" s="1">
        <v>43834</v>
      </c>
      <c r="C27" t="str">
        <f t="shared" si="0"/>
        <v>enero</v>
      </c>
      <c r="D27" t="s">
        <v>13</v>
      </c>
      <c r="E27" t="s">
        <v>64</v>
      </c>
      <c r="G27" t="s">
        <v>105</v>
      </c>
      <c r="H27">
        <v>4.76</v>
      </c>
      <c r="I27">
        <v>326</v>
      </c>
      <c r="J27" s="9">
        <f t="shared" si="1"/>
        <v>1551.76</v>
      </c>
      <c r="K27" s="9">
        <v>430</v>
      </c>
      <c r="L27" s="4">
        <f t="shared" si="2"/>
        <v>2046.8</v>
      </c>
      <c r="M27" s="4">
        <f t="shared" si="3"/>
        <v>495.03999999999996</v>
      </c>
    </row>
    <row r="28" spans="1:13" hidden="1" x14ac:dyDescent="0.25">
      <c r="A28">
        <v>7</v>
      </c>
      <c r="B28" s="1">
        <v>43834</v>
      </c>
      <c r="C28" t="str">
        <f t="shared" si="0"/>
        <v>enero</v>
      </c>
      <c r="D28" t="s">
        <v>13</v>
      </c>
      <c r="E28" t="s">
        <v>15</v>
      </c>
      <c r="G28" t="s">
        <v>104</v>
      </c>
      <c r="H28">
        <v>3</v>
      </c>
      <c r="I28">
        <v>271</v>
      </c>
      <c r="J28" s="9">
        <f t="shared" si="1"/>
        <v>813</v>
      </c>
      <c r="K28" s="9">
        <v>290</v>
      </c>
      <c r="L28" s="4">
        <f t="shared" si="2"/>
        <v>870</v>
      </c>
      <c r="M28" s="4">
        <f t="shared" si="3"/>
        <v>57</v>
      </c>
    </row>
    <row r="29" spans="1:13" hidden="1" x14ac:dyDescent="0.25">
      <c r="A29">
        <v>8</v>
      </c>
      <c r="B29" s="1">
        <v>43834</v>
      </c>
      <c r="C29" t="str">
        <f t="shared" si="0"/>
        <v>enero</v>
      </c>
      <c r="D29" t="s">
        <v>13</v>
      </c>
      <c r="E29" t="s">
        <v>55</v>
      </c>
      <c r="G29" t="s">
        <v>103</v>
      </c>
      <c r="H29">
        <v>3</v>
      </c>
      <c r="I29">
        <v>271</v>
      </c>
      <c r="J29" s="9">
        <f t="shared" si="1"/>
        <v>813</v>
      </c>
      <c r="K29" s="9">
        <v>290</v>
      </c>
      <c r="L29" s="4">
        <f t="shared" si="2"/>
        <v>870</v>
      </c>
      <c r="M29" s="4">
        <f t="shared" si="3"/>
        <v>57</v>
      </c>
    </row>
    <row r="30" spans="1:13" hidden="1" x14ac:dyDescent="0.25">
      <c r="A30">
        <v>9</v>
      </c>
      <c r="B30" s="1">
        <v>43837</v>
      </c>
      <c r="C30" t="str">
        <f t="shared" si="0"/>
        <v>enero</v>
      </c>
      <c r="D30" t="s">
        <v>13</v>
      </c>
      <c r="E30" t="s">
        <v>64</v>
      </c>
      <c r="G30" t="s">
        <v>105</v>
      </c>
      <c r="H30">
        <v>3.57</v>
      </c>
      <c r="I30">
        <v>326</v>
      </c>
      <c r="J30" s="9">
        <f t="shared" si="1"/>
        <v>1163.82</v>
      </c>
      <c r="K30" s="9">
        <v>430</v>
      </c>
      <c r="L30" s="4">
        <f t="shared" si="2"/>
        <v>1535.1</v>
      </c>
      <c r="M30" s="4">
        <f t="shared" si="3"/>
        <v>371.28</v>
      </c>
    </row>
    <row r="31" spans="1:13" hidden="1" x14ac:dyDescent="0.25">
      <c r="A31">
        <v>10</v>
      </c>
      <c r="B31" s="1">
        <v>43837</v>
      </c>
      <c r="C31" t="str">
        <f t="shared" si="0"/>
        <v>enero</v>
      </c>
      <c r="D31" t="s">
        <v>13</v>
      </c>
      <c r="E31" t="s">
        <v>24</v>
      </c>
      <c r="G31" t="s">
        <v>24</v>
      </c>
      <c r="H31">
        <v>1</v>
      </c>
      <c r="I31">
        <v>135</v>
      </c>
      <c r="J31" s="9">
        <f t="shared" si="1"/>
        <v>135</v>
      </c>
      <c r="K31" s="9">
        <v>100</v>
      </c>
      <c r="L31" s="4">
        <f t="shared" si="2"/>
        <v>100</v>
      </c>
      <c r="M31" s="4">
        <f t="shared" si="3"/>
        <v>-35</v>
      </c>
    </row>
    <row r="32" spans="1:13" hidden="1" x14ac:dyDescent="0.25">
      <c r="A32">
        <v>11</v>
      </c>
      <c r="B32" s="1">
        <v>43838</v>
      </c>
      <c r="C32" t="str">
        <f t="shared" si="0"/>
        <v>enero</v>
      </c>
      <c r="D32" t="s">
        <v>13</v>
      </c>
      <c r="E32" t="s">
        <v>15</v>
      </c>
      <c r="G32" t="s">
        <v>106</v>
      </c>
      <c r="H32">
        <v>10.64</v>
      </c>
      <c r="I32">
        <v>271</v>
      </c>
      <c r="J32" s="9">
        <f t="shared" si="1"/>
        <v>2883.44</v>
      </c>
      <c r="K32" s="9">
        <v>290</v>
      </c>
      <c r="L32" s="4">
        <f t="shared" si="2"/>
        <v>3085.6000000000004</v>
      </c>
      <c r="M32" s="4">
        <f t="shared" si="3"/>
        <v>202.16000000000031</v>
      </c>
    </row>
    <row r="33" spans="1:13" hidden="1" x14ac:dyDescent="0.25">
      <c r="A33">
        <v>12</v>
      </c>
      <c r="B33" s="1">
        <v>43838</v>
      </c>
      <c r="C33" t="str">
        <f t="shared" si="0"/>
        <v>enero</v>
      </c>
      <c r="D33" t="s">
        <v>13</v>
      </c>
      <c r="E33" t="s">
        <v>55</v>
      </c>
      <c r="G33" t="s">
        <v>22</v>
      </c>
      <c r="H33">
        <v>6</v>
      </c>
      <c r="I33">
        <v>271</v>
      </c>
      <c r="J33" s="9">
        <f t="shared" si="1"/>
        <v>1626</v>
      </c>
      <c r="K33" s="9">
        <v>290</v>
      </c>
      <c r="L33" s="4">
        <f t="shared" si="2"/>
        <v>1740</v>
      </c>
      <c r="M33" s="4">
        <f t="shared" si="3"/>
        <v>114</v>
      </c>
    </row>
    <row r="34" spans="1:13" hidden="1" x14ac:dyDescent="0.25">
      <c r="A34">
        <v>13</v>
      </c>
      <c r="B34" s="1">
        <v>43839</v>
      </c>
      <c r="C34" t="str">
        <f t="shared" si="0"/>
        <v>enero</v>
      </c>
      <c r="D34" t="s">
        <v>13</v>
      </c>
      <c r="E34" t="s">
        <v>55</v>
      </c>
      <c r="G34" t="s">
        <v>107</v>
      </c>
      <c r="H34">
        <v>10</v>
      </c>
      <c r="I34">
        <v>271</v>
      </c>
      <c r="J34" s="9">
        <f t="shared" si="1"/>
        <v>2710</v>
      </c>
      <c r="K34" s="9">
        <v>290</v>
      </c>
      <c r="L34" s="4">
        <f t="shared" si="2"/>
        <v>2900</v>
      </c>
      <c r="M34" s="4">
        <f t="shared" si="3"/>
        <v>190</v>
      </c>
    </row>
    <row r="35" spans="1:13" x14ac:dyDescent="0.25">
      <c r="A35">
        <v>14</v>
      </c>
      <c r="B35" s="1">
        <v>43839</v>
      </c>
      <c r="C35" t="str">
        <f t="shared" si="0"/>
        <v>enero</v>
      </c>
      <c r="D35" t="s">
        <v>163</v>
      </c>
      <c r="E35" t="s">
        <v>15</v>
      </c>
      <c r="G35" t="s">
        <v>80</v>
      </c>
      <c r="H35">
        <v>100</v>
      </c>
      <c r="I35">
        <f>183.6*1.15</f>
        <v>211.14</v>
      </c>
      <c r="J35" s="9">
        <f t="shared" si="1"/>
        <v>21114</v>
      </c>
      <c r="K35" s="9">
        <v>240</v>
      </c>
      <c r="L35" s="7">
        <f t="shared" si="2"/>
        <v>24000</v>
      </c>
      <c r="M35" s="7">
        <f t="shared" si="3"/>
        <v>2886</v>
      </c>
    </row>
    <row r="36" spans="1:13" hidden="1" x14ac:dyDescent="0.25">
      <c r="A36">
        <v>15</v>
      </c>
      <c r="B36" s="1">
        <v>43840</v>
      </c>
      <c r="C36" t="str">
        <f t="shared" si="0"/>
        <v>enero</v>
      </c>
      <c r="D36" t="s">
        <v>99</v>
      </c>
      <c r="E36" t="s">
        <v>26</v>
      </c>
      <c r="G36" t="s">
        <v>100</v>
      </c>
      <c r="H36">
        <v>34.56</v>
      </c>
      <c r="I36">
        <v>330.03</v>
      </c>
      <c r="J36" s="9">
        <f t="shared" si="1"/>
        <v>11405.836799999999</v>
      </c>
      <c r="K36" s="9">
        <v>380</v>
      </c>
      <c r="L36" s="4">
        <f t="shared" si="2"/>
        <v>13132.800000000001</v>
      </c>
      <c r="M36" s="4">
        <f t="shared" si="3"/>
        <v>1726.963200000002</v>
      </c>
    </row>
    <row r="37" spans="1:13" hidden="1" x14ac:dyDescent="0.25">
      <c r="A37">
        <v>16</v>
      </c>
      <c r="B37" s="1">
        <v>43840</v>
      </c>
      <c r="C37" t="str">
        <f t="shared" si="0"/>
        <v>enero</v>
      </c>
      <c r="D37" t="s">
        <v>13</v>
      </c>
      <c r="E37" t="s">
        <v>15</v>
      </c>
      <c r="G37" t="s">
        <v>104</v>
      </c>
      <c r="H37">
        <v>6.65</v>
      </c>
      <c r="I37">
        <v>271</v>
      </c>
      <c r="J37" s="9">
        <f t="shared" si="1"/>
        <v>1802.15</v>
      </c>
      <c r="K37" s="9">
        <v>290</v>
      </c>
      <c r="L37" s="4">
        <f t="shared" si="2"/>
        <v>1928.5</v>
      </c>
      <c r="M37" s="4">
        <f t="shared" si="3"/>
        <v>126.34999999999991</v>
      </c>
    </row>
    <row r="38" spans="1:13" x14ac:dyDescent="0.25">
      <c r="A38">
        <v>17</v>
      </c>
      <c r="B38" s="1">
        <v>43841</v>
      </c>
      <c r="C38" t="str">
        <f t="shared" si="0"/>
        <v>enero</v>
      </c>
      <c r="D38" t="s">
        <v>163</v>
      </c>
      <c r="E38" t="s">
        <v>15</v>
      </c>
      <c r="G38" t="s">
        <v>168</v>
      </c>
      <c r="H38">
        <v>20</v>
      </c>
      <c r="I38">
        <f>234.6*1.15</f>
        <v>269.78999999999996</v>
      </c>
      <c r="J38" s="9">
        <f t="shared" si="1"/>
        <v>5395.7999999999993</v>
      </c>
      <c r="K38" s="9">
        <v>360</v>
      </c>
      <c r="L38" s="7">
        <f t="shared" si="2"/>
        <v>7200</v>
      </c>
      <c r="M38" s="7">
        <f t="shared" si="3"/>
        <v>1804.2000000000007</v>
      </c>
    </row>
    <row r="39" spans="1:13" hidden="1" x14ac:dyDescent="0.25">
      <c r="A39">
        <v>18</v>
      </c>
      <c r="B39" s="1">
        <v>43841</v>
      </c>
      <c r="C39" t="str">
        <f t="shared" si="0"/>
        <v>enero</v>
      </c>
      <c r="D39" t="s">
        <v>163</v>
      </c>
      <c r="E39" t="s">
        <v>25</v>
      </c>
      <c r="G39" t="s">
        <v>169</v>
      </c>
      <c r="H39">
        <v>5</v>
      </c>
      <c r="I39">
        <f>67.66*1.15</f>
        <v>77.808999999999983</v>
      </c>
      <c r="J39" s="9">
        <f t="shared" si="1"/>
        <v>389.0449999999999</v>
      </c>
      <c r="K39" s="9">
        <v>100</v>
      </c>
      <c r="L39" s="7">
        <f t="shared" si="2"/>
        <v>500</v>
      </c>
      <c r="M39" s="7">
        <f t="shared" si="3"/>
        <v>110.9550000000001</v>
      </c>
    </row>
    <row r="40" spans="1:13" hidden="1" x14ac:dyDescent="0.25">
      <c r="A40">
        <v>19</v>
      </c>
      <c r="B40" s="1">
        <v>43841</v>
      </c>
      <c r="C40" t="str">
        <f t="shared" si="0"/>
        <v>enero</v>
      </c>
      <c r="D40" t="s">
        <v>163</v>
      </c>
      <c r="E40" t="s">
        <v>25</v>
      </c>
      <c r="G40" t="s">
        <v>139</v>
      </c>
      <c r="H40">
        <v>10</v>
      </c>
      <c r="I40">
        <f>65.62*1.15</f>
        <v>75.462999999999994</v>
      </c>
      <c r="J40" s="9">
        <f t="shared" si="1"/>
        <v>754.62999999999988</v>
      </c>
      <c r="K40" s="9">
        <v>100</v>
      </c>
      <c r="L40" s="7">
        <f t="shared" si="2"/>
        <v>1000</v>
      </c>
      <c r="M40" s="7">
        <f t="shared" si="3"/>
        <v>245.37000000000012</v>
      </c>
    </row>
    <row r="41" spans="1:13" hidden="1" x14ac:dyDescent="0.25">
      <c r="A41">
        <v>20</v>
      </c>
      <c r="B41" s="1">
        <v>43841</v>
      </c>
      <c r="C41" t="str">
        <f t="shared" si="0"/>
        <v>enero</v>
      </c>
      <c r="D41" t="s">
        <v>163</v>
      </c>
      <c r="E41" t="s">
        <v>25</v>
      </c>
      <c r="G41" t="s">
        <v>170</v>
      </c>
      <c r="H41">
        <v>5</v>
      </c>
      <c r="I41">
        <f>64.6*1.15</f>
        <v>74.289999999999992</v>
      </c>
      <c r="J41" s="9">
        <f t="shared" si="1"/>
        <v>371.44999999999993</v>
      </c>
      <c r="K41" s="9">
        <v>100</v>
      </c>
      <c r="L41" s="7">
        <f t="shared" si="2"/>
        <v>500</v>
      </c>
      <c r="M41" s="7">
        <f t="shared" si="3"/>
        <v>128.55000000000007</v>
      </c>
    </row>
    <row r="42" spans="1:13" hidden="1" x14ac:dyDescent="0.25">
      <c r="A42">
        <v>21</v>
      </c>
      <c r="B42" s="1">
        <v>43841</v>
      </c>
      <c r="C42" t="str">
        <f t="shared" si="0"/>
        <v>enero</v>
      </c>
      <c r="D42" t="s">
        <v>163</v>
      </c>
      <c r="E42" t="s">
        <v>25</v>
      </c>
      <c r="G42" t="s">
        <v>145</v>
      </c>
      <c r="H42">
        <v>10</v>
      </c>
      <c r="I42">
        <f>60.18*1.15</f>
        <v>69.206999999999994</v>
      </c>
      <c r="J42" s="9">
        <f t="shared" si="1"/>
        <v>692.06999999999994</v>
      </c>
      <c r="K42" s="9">
        <v>100</v>
      </c>
      <c r="L42" s="7">
        <f t="shared" si="2"/>
        <v>1000</v>
      </c>
      <c r="M42" s="7">
        <f t="shared" si="3"/>
        <v>307.93000000000006</v>
      </c>
    </row>
    <row r="43" spans="1:13" x14ac:dyDescent="0.25">
      <c r="A43">
        <v>22</v>
      </c>
      <c r="B43" s="1">
        <v>43841</v>
      </c>
      <c r="C43" t="str">
        <f t="shared" si="0"/>
        <v>enero</v>
      </c>
      <c r="D43" t="s">
        <v>163</v>
      </c>
      <c r="E43" t="s">
        <v>15</v>
      </c>
      <c r="G43" t="s">
        <v>54</v>
      </c>
      <c r="H43">
        <v>50</v>
      </c>
      <c r="I43">
        <f>183.94*1.15</f>
        <v>211.53099999999998</v>
      </c>
      <c r="J43" s="9">
        <f t="shared" si="1"/>
        <v>10576.55</v>
      </c>
      <c r="K43" s="9">
        <v>240</v>
      </c>
      <c r="L43" s="7">
        <f t="shared" si="2"/>
        <v>12000</v>
      </c>
      <c r="M43" s="7">
        <f t="shared" si="3"/>
        <v>1423.4500000000007</v>
      </c>
    </row>
    <row r="44" spans="1:13" hidden="1" x14ac:dyDescent="0.25">
      <c r="A44">
        <v>23</v>
      </c>
      <c r="B44" s="1">
        <v>43841</v>
      </c>
      <c r="C44" t="str">
        <f t="shared" si="0"/>
        <v>enero</v>
      </c>
      <c r="D44" t="s">
        <v>163</v>
      </c>
      <c r="E44" t="s">
        <v>56</v>
      </c>
      <c r="G44" t="s">
        <v>171</v>
      </c>
      <c r="H44">
        <v>77</v>
      </c>
      <c r="I44">
        <f>112.88*1.15</f>
        <v>129.81199999999998</v>
      </c>
      <c r="J44" s="9">
        <f t="shared" si="1"/>
        <v>9995.5239999999994</v>
      </c>
      <c r="K44" s="9">
        <v>170</v>
      </c>
      <c r="L44" s="7">
        <f t="shared" si="2"/>
        <v>13090</v>
      </c>
      <c r="M44" s="7">
        <f t="shared" si="3"/>
        <v>3094.4760000000006</v>
      </c>
    </row>
    <row r="45" spans="1:13" x14ac:dyDescent="0.25">
      <c r="A45">
        <v>24</v>
      </c>
      <c r="B45" s="1">
        <v>43841</v>
      </c>
      <c r="C45" t="str">
        <f t="shared" si="0"/>
        <v>enero</v>
      </c>
      <c r="D45" t="s">
        <v>163</v>
      </c>
      <c r="E45" t="s">
        <v>15</v>
      </c>
      <c r="G45" t="s">
        <v>28</v>
      </c>
      <c r="H45">
        <v>30</v>
      </c>
      <c r="I45">
        <f>157.42*1.15</f>
        <v>181.03299999999996</v>
      </c>
      <c r="J45" s="9">
        <f t="shared" si="1"/>
        <v>5430.9899999999989</v>
      </c>
      <c r="K45" s="9">
        <v>230</v>
      </c>
      <c r="L45" s="7">
        <f t="shared" si="2"/>
        <v>6900</v>
      </c>
      <c r="M45" s="7">
        <f t="shared" si="3"/>
        <v>1469.0100000000011</v>
      </c>
    </row>
    <row r="46" spans="1:13" x14ac:dyDescent="0.25">
      <c r="A46">
        <v>25</v>
      </c>
      <c r="B46" s="1">
        <v>43841</v>
      </c>
      <c r="C46" t="str">
        <f t="shared" si="0"/>
        <v>enero</v>
      </c>
      <c r="D46" t="s">
        <v>163</v>
      </c>
      <c r="E46" t="s">
        <v>15</v>
      </c>
      <c r="G46" t="s">
        <v>33</v>
      </c>
      <c r="H46">
        <v>20</v>
      </c>
      <c r="I46">
        <f>158.1*1.15</f>
        <v>181.81499999999997</v>
      </c>
      <c r="J46" s="9">
        <f t="shared" si="1"/>
        <v>3636.2999999999993</v>
      </c>
      <c r="K46" s="9">
        <v>230</v>
      </c>
      <c r="L46" s="7">
        <f t="shared" si="2"/>
        <v>4600</v>
      </c>
      <c r="M46" s="7">
        <f t="shared" si="3"/>
        <v>963.70000000000073</v>
      </c>
    </row>
    <row r="47" spans="1:13" x14ac:dyDescent="0.25">
      <c r="A47">
        <v>26</v>
      </c>
      <c r="B47" s="1">
        <v>43841</v>
      </c>
      <c r="C47" t="str">
        <f t="shared" si="0"/>
        <v>enero</v>
      </c>
      <c r="D47" t="s">
        <v>163</v>
      </c>
      <c r="E47" t="s">
        <v>15</v>
      </c>
      <c r="G47" t="s">
        <v>76</v>
      </c>
      <c r="H47">
        <v>50</v>
      </c>
      <c r="I47">
        <f>152.66*1.15</f>
        <v>175.55899999999997</v>
      </c>
      <c r="J47" s="9">
        <f t="shared" si="1"/>
        <v>8777.9499999999989</v>
      </c>
      <c r="K47" s="9">
        <v>230</v>
      </c>
      <c r="L47" s="7">
        <f t="shared" si="2"/>
        <v>11500</v>
      </c>
      <c r="M47" s="7">
        <f t="shared" si="3"/>
        <v>2722.0500000000011</v>
      </c>
    </row>
    <row r="48" spans="1:13" x14ac:dyDescent="0.25">
      <c r="A48">
        <v>27</v>
      </c>
      <c r="B48" s="1">
        <v>43841</v>
      </c>
      <c r="C48" t="str">
        <f t="shared" si="0"/>
        <v>enero</v>
      </c>
      <c r="D48" t="s">
        <v>163</v>
      </c>
      <c r="E48" t="s">
        <v>15</v>
      </c>
      <c r="G48" t="s">
        <v>96</v>
      </c>
      <c r="H48">
        <v>50</v>
      </c>
      <c r="I48">
        <f>158.1*1.15</f>
        <v>181.81499999999997</v>
      </c>
      <c r="J48" s="9">
        <f t="shared" si="1"/>
        <v>9090.7499999999982</v>
      </c>
      <c r="K48" s="9">
        <v>240</v>
      </c>
      <c r="L48" s="7">
        <f t="shared" si="2"/>
        <v>12000</v>
      </c>
      <c r="M48" s="7">
        <f t="shared" si="3"/>
        <v>2909.2500000000018</v>
      </c>
    </row>
    <row r="49" spans="1:13" x14ac:dyDescent="0.25">
      <c r="A49">
        <v>28</v>
      </c>
      <c r="B49" s="1">
        <v>43841</v>
      </c>
      <c r="C49" t="str">
        <f t="shared" si="0"/>
        <v>enero</v>
      </c>
      <c r="D49" t="s">
        <v>163</v>
      </c>
      <c r="E49" t="s">
        <v>15</v>
      </c>
      <c r="G49" t="s">
        <v>32</v>
      </c>
      <c r="H49">
        <v>10</v>
      </c>
      <c r="I49">
        <f>185.64*1.15</f>
        <v>213.48599999999996</v>
      </c>
      <c r="J49" s="9">
        <f t="shared" si="1"/>
        <v>2134.8599999999997</v>
      </c>
      <c r="K49" s="9">
        <v>280</v>
      </c>
      <c r="L49" s="7">
        <f t="shared" si="2"/>
        <v>2800</v>
      </c>
      <c r="M49" s="7">
        <f t="shared" si="3"/>
        <v>665.14000000000033</v>
      </c>
    </row>
    <row r="50" spans="1:13" x14ac:dyDescent="0.25">
      <c r="A50">
        <v>29</v>
      </c>
      <c r="B50" s="1">
        <v>43841</v>
      </c>
      <c r="C50" t="str">
        <f t="shared" si="0"/>
        <v>enero</v>
      </c>
      <c r="D50" t="s">
        <v>163</v>
      </c>
      <c r="E50" t="s">
        <v>15</v>
      </c>
      <c r="G50" t="s">
        <v>132</v>
      </c>
      <c r="H50">
        <v>10</v>
      </c>
      <c r="I50">
        <f>197.2*1.15</f>
        <v>226.77999999999997</v>
      </c>
      <c r="J50" s="9">
        <f t="shared" si="1"/>
        <v>2267.7999999999997</v>
      </c>
      <c r="K50" s="9">
        <v>280</v>
      </c>
      <c r="L50" s="7">
        <f t="shared" si="2"/>
        <v>2800</v>
      </c>
      <c r="M50" s="7">
        <f t="shared" si="3"/>
        <v>532.20000000000027</v>
      </c>
    </row>
    <row r="51" spans="1:13" hidden="1" x14ac:dyDescent="0.25">
      <c r="A51">
        <v>30</v>
      </c>
      <c r="B51" s="1">
        <v>43841</v>
      </c>
      <c r="C51" t="str">
        <f t="shared" si="0"/>
        <v>enero</v>
      </c>
      <c r="D51" t="s">
        <v>163</v>
      </c>
      <c r="E51" t="s">
        <v>55</v>
      </c>
      <c r="G51" t="s">
        <v>120</v>
      </c>
      <c r="H51">
        <v>10</v>
      </c>
      <c r="I51">
        <f>197.2*1.15</f>
        <v>226.77999999999997</v>
      </c>
      <c r="J51" s="9">
        <f t="shared" si="1"/>
        <v>2267.7999999999997</v>
      </c>
      <c r="K51" s="9">
        <v>280</v>
      </c>
      <c r="L51" s="7">
        <f t="shared" si="2"/>
        <v>2800</v>
      </c>
      <c r="M51" s="7">
        <f t="shared" si="3"/>
        <v>532.20000000000027</v>
      </c>
    </row>
    <row r="52" spans="1:13" hidden="1" x14ac:dyDescent="0.25">
      <c r="A52">
        <v>31</v>
      </c>
      <c r="B52" s="1">
        <v>43843</v>
      </c>
      <c r="C52" t="str">
        <f t="shared" si="0"/>
        <v>enero</v>
      </c>
      <c r="D52" t="s">
        <v>13</v>
      </c>
      <c r="E52" t="s">
        <v>55</v>
      </c>
      <c r="G52" t="s">
        <v>108</v>
      </c>
      <c r="H52">
        <v>2</v>
      </c>
      <c r="I52">
        <v>271</v>
      </c>
      <c r="J52" s="9">
        <f t="shared" si="1"/>
        <v>542</v>
      </c>
      <c r="K52" s="9">
        <v>290</v>
      </c>
      <c r="L52" s="4">
        <f t="shared" si="2"/>
        <v>580</v>
      </c>
      <c r="M52" s="4">
        <f t="shared" si="3"/>
        <v>38</v>
      </c>
    </row>
    <row r="53" spans="1:13" hidden="1" x14ac:dyDescent="0.25">
      <c r="A53">
        <v>32</v>
      </c>
      <c r="B53" s="1">
        <v>43843</v>
      </c>
      <c r="C53" t="str">
        <f t="shared" si="0"/>
        <v>enero</v>
      </c>
      <c r="D53" t="s">
        <v>13</v>
      </c>
      <c r="E53" t="s">
        <v>15</v>
      </c>
      <c r="G53" t="s">
        <v>106</v>
      </c>
      <c r="H53">
        <v>5.32</v>
      </c>
      <c r="I53">
        <v>271</v>
      </c>
      <c r="J53" s="9">
        <f t="shared" si="1"/>
        <v>1441.72</v>
      </c>
      <c r="K53" s="9">
        <v>290</v>
      </c>
      <c r="L53" s="4">
        <f t="shared" si="2"/>
        <v>1542.8000000000002</v>
      </c>
      <c r="M53" s="4">
        <f t="shared" si="3"/>
        <v>101.08000000000015</v>
      </c>
    </row>
    <row r="54" spans="1:13" hidden="1" x14ac:dyDescent="0.25">
      <c r="A54">
        <v>33</v>
      </c>
      <c r="B54" s="1">
        <v>43843</v>
      </c>
      <c r="C54" t="str">
        <f t="shared" si="0"/>
        <v>enero</v>
      </c>
      <c r="D54" t="s">
        <v>13</v>
      </c>
      <c r="E54" t="s">
        <v>64</v>
      </c>
      <c r="G54" t="s">
        <v>109</v>
      </c>
      <c r="H54">
        <v>2.38</v>
      </c>
      <c r="I54">
        <v>326</v>
      </c>
      <c r="J54" s="9">
        <f t="shared" si="1"/>
        <v>775.88</v>
      </c>
      <c r="K54" s="9">
        <v>430</v>
      </c>
      <c r="L54" s="4">
        <f t="shared" si="2"/>
        <v>1023.4</v>
      </c>
      <c r="M54" s="4">
        <f t="shared" si="3"/>
        <v>247.51999999999998</v>
      </c>
    </row>
    <row r="55" spans="1:13" hidden="1" x14ac:dyDescent="0.25">
      <c r="A55">
        <v>34</v>
      </c>
      <c r="B55" s="1">
        <v>43843</v>
      </c>
      <c r="C55" t="str">
        <f t="shared" si="0"/>
        <v>enero</v>
      </c>
      <c r="D55" t="s">
        <v>13</v>
      </c>
      <c r="E55" t="s">
        <v>15</v>
      </c>
      <c r="G55" t="s">
        <v>110</v>
      </c>
      <c r="H55">
        <v>1.33</v>
      </c>
      <c r="I55">
        <v>271</v>
      </c>
      <c r="J55" s="9">
        <f t="shared" si="1"/>
        <v>360.43</v>
      </c>
      <c r="K55" s="9">
        <v>290</v>
      </c>
      <c r="L55" s="4">
        <f t="shared" si="2"/>
        <v>385.70000000000005</v>
      </c>
      <c r="M55" s="4">
        <f t="shared" si="3"/>
        <v>25.270000000000039</v>
      </c>
    </row>
    <row r="56" spans="1:13" hidden="1" x14ac:dyDescent="0.25">
      <c r="A56">
        <v>35</v>
      </c>
      <c r="B56" s="1">
        <v>43843</v>
      </c>
      <c r="C56" t="str">
        <f t="shared" si="0"/>
        <v>enero</v>
      </c>
      <c r="D56" t="s">
        <v>13</v>
      </c>
      <c r="E56" t="s">
        <v>55</v>
      </c>
      <c r="G56" t="s">
        <v>22</v>
      </c>
      <c r="H56">
        <v>10</v>
      </c>
      <c r="I56">
        <v>271</v>
      </c>
      <c r="J56" s="9">
        <f t="shared" si="1"/>
        <v>2710</v>
      </c>
      <c r="K56" s="9">
        <v>290</v>
      </c>
      <c r="L56" s="4">
        <f t="shared" si="2"/>
        <v>2900</v>
      </c>
      <c r="M56" s="4">
        <f t="shared" si="3"/>
        <v>190</v>
      </c>
    </row>
    <row r="57" spans="1:13" hidden="1" x14ac:dyDescent="0.25">
      <c r="A57">
        <v>36</v>
      </c>
      <c r="B57" s="1">
        <v>43843</v>
      </c>
      <c r="C57" t="str">
        <f t="shared" si="0"/>
        <v>enero</v>
      </c>
      <c r="D57" t="s">
        <v>13</v>
      </c>
      <c r="E57" t="s">
        <v>55</v>
      </c>
      <c r="G57" t="s">
        <v>88</v>
      </c>
      <c r="H57">
        <v>2</v>
      </c>
      <c r="I57">
        <v>271</v>
      </c>
      <c r="J57" s="9">
        <f t="shared" si="1"/>
        <v>542</v>
      </c>
      <c r="K57" s="9">
        <v>290</v>
      </c>
      <c r="L57" s="4">
        <f t="shared" si="2"/>
        <v>580</v>
      </c>
      <c r="M57" s="4">
        <f t="shared" si="3"/>
        <v>38</v>
      </c>
    </row>
    <row r="58" spans="1:13" hidden="1" x14ac:dyDescent="0.25">
      <c r="A58">
        <v>37</v>
      </c>
      <c r="B58" s="1">
        <v>43843</v>
      </c>
      <c r="C58" t="str">
        <f t="shared" si="0"/>
        <v>enero</v>
      </c>
      <c r="D58" t="s">
        <v>13</v>
      </c>
      <c r="E58" t="s">
        <v>55</v>
      </c>
      <c r="G58" t="s">
        <v>39</v>
      </c>
      <c r="H58">
        <v>1</v>
      </c>
      <c r="I58">
        <v>271</v>
      </c>
      <c r="J58" s="9">
        <f t="shared" si="1"/>
        <v>271</v>
      </c>
      <c r="K58" s="9">
        <v>290</v>
      </c>
      <c r="L58" s="4">
        <f t="shared" si="2"/>
        <v>290</v>
      </c>
      <c r="M58" s="4">
        <f t="shared" si="3"/>
        <v>19</v>
      </c>
    </row>
    <row r="59" spans="1:13" hidden="1" x14ac:dyDescent="0.25">
      <c r="A59">
        <v>38</v>
      </c>
      <c r="B59" s="1">
        <v>43844</v>
      </c>
      <c r="C59" t="str">
        <f t="shared" si="0"/>
        <v>enero</v>
      </c>
      <c r="D59" t="s">
        <v>13</v>
      </c>
      <c r="E59" t="s">
        <v>55</v>
      </c>
      <c r="G59" t="s">
        <v>111</v>
      </c>
      <c r="H59">
        <v>3</v>
      </c>
      <c r="I59">
        <v>271</v>
      </c>
      <c r="J59" s="9">
        <f t="shared" si="1"/>
        <v>813</v>
      </c>
      <c r="K59" s="9">
        <v>290</v>
      </c>
      <c r="L59" s="4">
        <f t="shared" si="2"/>
        <v>870</v>
      </c>
      <c r="M59" s="4">
        <f t="shared" si="3"/>
        <v>57</v>
      </c>
    </row>
    <row r="60" spans="1:13" hidden="1" x14ac:dyDescent="0.25">
      <c r="A60">
        <v>39</v>
      </c>
      <c r="B60" s="1">
        <v>43844</v>
      </c>
      <c r="C60" t="str">
        <f t="shared" si="0"/>
        <v>enero</v>
      </c>
      <c r="D60" t="s">
        <v>13</v>
      </c>
      <c r="E60" t="s">
        <v>55</v>
      </c>
      <c r="G60" t="s">
        <v>22</v>
      </c>
      <c r="H60">
        <v>7</v>
      </c>
      <c r="I60">
        <v>271</v>
      </c>
      <c r="J60" s="9">
        <f t="shared" si="1"/>
        <v>1897</v>
      </c>
      <c r="K60" s="9">
        <v>290</v>
      </c>
      <c r="L60" s="4">
        <f t="shared" si="2"/>
        <v>2030</v>
      </c>
      <c r="M60" s="4">
        <f t="shared" si="3"/>
        <v>133</v>
      </c>
    </row>
    <row r="61" spans="1:13" hidden="1" x14ac:dyDescent="0.25">
      <c r="A61">
        <v>40</v>
      </c>
      <c r="B61" s="1">
        <v>43844</v>
      </c>
      <c r="C61" t="str">
        <f t="shared" si="0"/>
        <v>enero</v>
      </c>
      <c r="D61" t="s">
        <v>13</v>
      </c>
      <c r="E61" t="s">
        <v>55</v>
      </c>
      <c r="G61" t="s">
        <v>22</v>
      </c>
      <c r="H61">
        <v>10</v>
      </c>
      <c r="I61">
        <v>271</v>
      </c>
      <c r="J61" s="9">
        <f t="shared" si="1"/>
        <v>2710</v>
      </c>
      <c r="K61" s="9">
        <v>290</v>
      </c>
      <c r="L61" s="4">
        <f t="shared" si="2"/>
        <v>2900</v>
      </c>
      <c r="M61" s="4">
        <f t="shared" si="3"/>
        <v>190</v>
      </c>
    </row>
    <row r="62" spans="1:13" hidden="1" x14ac:dyDescent="0.25">
      <c r="A62">
        <v>41</v>
      </c>
      <c r="B62" s="1">
        <v>43844</v>
      </c>
      <c r="C62" t="str">
        <f t="shared" si="0"/>
        <v>enero</v>
      </c>
      <c r="D62" t="s">
        <v>13</v>
      </c>
      <c r="E62" t="s">
        <v>55</v>
      </c>
      <c r="G62" t="s">
        <v>111</v>
      </c>
      <c r="H62">
        <v>3</v>
      </c>
      <c r="I62">
        <v>271</v>
      </c>
      <c r="J62" s="9">
        <f t="shared" si="1"/>
        <v>813</v>
      </c>
      <c r="K62" s="9">
        <v>290</v>
      </c>
      <c r="L62" s="4">
        <f t="shared" si="2"/>
        <v>870</v>
      </c>
      <c r="M62" s="4">
        <f t="shared" si="3"/>
        <v>57</v>
      </c>
    </row>
    <row r="63" spans="1:13" hidden="1" x14ac:dyDescent="0.25">
      <c r="A63">
        <v>42</v>
      </c>
      <c r="B63" s="1">
        <v>43844</v>
      </c>
      <c r="C63" t="str">
        <f t="shared" si="0"/>
        <v>enero</v>
      </c>
      <c r="D63" t="s">
        <v>13</v>
      </c>
      <c r="E63" t="s">
        <v>55</v>
      </c>
      <c r="G63" t="s">
        <v>14</v>
      </c>
      <c r="H63">
        <v>2</v>
      </c>
      <c r="I63">
        <v>271</v>
      </c>
      <c r="J63" s="9">
        <f t="shared" si="1"/>
        <v>542</v>
      </c>
      <c r="K63" s="9">
        <v>290</v>
      </c>
      <c r="L63" s="4">
        <f t="shared" si="2"/>
        <v>580</v>
      </c>
      <c r="M63" s="4">
        <f t="shared" si="3"/>
        <v>38</v>
      </c>
    </row>
    <row r="64" spans="1:13" hidden="1" x14ac:dyDescent="0.25">
      <c r="A64">
        <v>43</v>
      </c>
      <c r="B64" s="1">
        <v>43845</v>
      </c>
      <c r="C64" t="str">
        <f t="shared" si="0"/>
        <v>enero</v>
      </c>
      <c r="D64" t="s">
        <v>13</v>
      </c>
      <c r="E64" t="s">
        <v>15</v>
      </c>
      <c r="G64" t="s">
        <v>106</v>
      </c>
      <c r="H64">
        <v>65.17</v>
      </c>
      <c r="I64">
        <v>271</v>
      </c>
      <c r="J64" s="9">
        <f t="shared" si="1"/>
        <v>17661.07</v>
      </c>
      <c r="K64" s="9">
        <v>290</v>
      </c>
      <c r="L64" s="4">
        <f t="shared" si="2"/>
        <v>18899.3</v>
      </c>
      <c r="M64" s="4">
        <f t="shared" si="3"/>
        <v>1238.2299999999996</v>
      </c>
    </row>
    <row r="65" spans="1:13" hidden="1" x14ac:dyDescent="0.25">
      <c r="A65">
        <v>44</v>
      </c>
      <c r="B65" s="1">
        <v>43845</v>
      </c>
      <c r="C65" t="str">
        <f t="shared" si="0"/>
        <v>enero</v>
      </c>
      <c r="D65" t="s">
        <v>13</v>
      </c>
      <c r="E65" t="s">
        <v>55</v>
      </c>
      <c r="G65" t="s">
        <v>103</v>
      </c>
      <c r="H65">
        <v>1</v>
      </c>
      <c r="I65">
        <v>271</v>
      </c>
      <c r="J65" s="9">
        <f t="shared" si="1"/>
        <v>271</v>
      </c>
      <c r="K65" s="9">
        <v>290</v>
      </c>
      <c r="L65" s="4">
        <f t="shared" si="2"/>
        <v>290</v>
      </c>
      <c r="M65" s="4">
        <f t="shared" si="3"/>
        <v>19</v>
      </c>
    </row>
    <row r="66" spans="1:13" hidden="1" x14ac:dyDescent="0.25">
      <c r="A66">
        <v>45</v>
      </c>
      <c r="B66" s="1">
        <v>43845</v>
      </c>
      <c r="C66" t="str">
        <f t="shared" ref="C66:C129" si="4">+TEXT(B66,"mmmm")</f>
        <v>enero</v>
      </c>
      <c r="D66" t="s">
        <v>167</v>
      </c>
      <c r="E66" t="s">
        <v>23</v>
      </c>
      <c r="G66" t="s">
        <v>190</v>
      </c>
      <c r="H66">
        <v>3</v>
      </c>
      <c r="I66">
        <v>360</v>
      </c>
      <c r="J66" s="9">
        <f t="shared" ref="J66:J129" si="5">+H66*I66</f>
        <v>1080</v>
      </c>
      <c r="K66" s="9">
        <v>600</v>
      </c>
      <c r="L66" s="7">
        <f t="shared" ref="L66:L129" si="6">+H66*K66</f>
        <v>1800</v>
      </c>
      <c r="M66" s="7">
        <f t="shared" ref="M66:M129" si="7">+L66-J66</f>
        <v>720</v>
      </c>
    </row>
    <row r="67" spans="1:13" hidden="1" x14ac:dyDescent="0.25">
      <c r="A67">
        <v>46</v>
      </c>
      <c r="B67" s="1">
        <v>43845</v>
      </c>
      <c r="C67" t="str">
        <f t="shared" si="4"/>
        <v>enero</v>
      </c>
      <c r="D67" t="s">
        <v>167</v>
      </c>
      <c r="E67" t="s">
        <v>78</v>
      </c>
      <c r="G67" t="s">
        <v>79</v>
      </c>
      <c r="H67">
        <v>2</v>
      </c>
      <c r="I67">
        <v>1330</v>
      </c>
      <c r="J67" s="9">
        <f t="shared" si="5"/>
        <v>2660</v>
      </c>
      <c r="K67" s="9">
        <v>1550</v>
      </c>
      <c r="L67" s="7">
        <f t="shared" si="6"/>
        <v>3100</v>
      </c>
      <c r="M67" s="7">
        <f t="shared" si="7"/>
        <v>440</v>
      </c>
    </row>
    <row r="68" spans="1:13" hidden="1" x14ac:dyDescent="0.25">
      <c r="A68">
        <v>47</v>
      </c>
      <c r="B68" s="1">
        <v>43845</v>
      </c>
      <c r="C68" t="str">
        <f t="shared" si="4"/>
        <v>enero</v>
      </c>
      <c r="D68" t="s">
        <v>167</v>
      </c>
      <c r="E68" t="s">
        <v>70</v>
      </c>
      <c r="G68" t="s">
        <v>191</v>
      </c>
      <c r="H68">
        <v>2</v>
      </c>
      <c r="I68">
        <v>1655</v>
      </c>
      <c r="J68" s="9">
        <f t="shared" si="5"/>
        <v>3310</v>
      </c>
      <c r="K68" s="9">
        <v>1900</v>
      </c>
      <c r="L68" s="6">
        <f t="shared" si="6"/>
        <v>3800</v>
      </c>
      <c r="M68" s="6">
        <f t="shared" si="7"/>
        <v>490</v>
      </c>
    </row>
    <row r="69" spans="1:13" hidden="1" x14ac:dyDescent="0.25">
      <c r="A69">
        <v>48</v>
      </c>
      <c r="B69" s="1">
        <v>43845</v>
      </c>
      <c r="C69" t="str">
        <f t="shared" si="4"/>
        <v>enero</v>
      </c>
      <c r="D69" t="s">
        <v>167</v>
      </c>
      <c r="E69" t="s">
        <v>70</v>
      </c>
      <c r="G69" t="s">
        <v>151</v>
      </c>
      <c r="H69">
        <v>2</v>
      </c>
      <c r="I69">
        <v>1580</v>
      </c>
      <c r="J69" s="9">
        <f t="shared" si="5"/>
        <v>3160</v>
      </c>
      <c r="K69" s="9">
        <v>1800</v>
      </c>
      <c r="L69" s="6">
        <f t="shared" si="6"/>
        <v>3600</v>
      </c>
      <c r="M69" s="6">
        <f t="shared" si="7"/>
        <v>440</v>
      </c>
    </row>
    <row r="70" spans="1:13" hidden="1" x14ac:dyDescent="0.25">
      <c r="A70">
        <v>49</v>
      </c>
      <c r="B70" s="1">
        <v>43845</v>
      </c>
      <c r="C70" t="str">
        <f t="shared" si="4"/>
        <v>enero</v>
      </c>
      <c r="D70" t="s">
        <v>167</v>
      </c>
      <c r="E70" t="s">
        <v>70</v>
      </c>
      <c r="G70" t="s">
        <v>192</v>
      </c>
      <c r="H70">
        <v>2</v>
      </c>
      <c r="I70">
        <v>1580</v>
      </c>
      <c r="J70" s="9">
        <f t="shared" si="5"/>
        <v>3160</v>
      </c>
      <c r="K70" s="9">
        <v>1800</v>
      </c>
      <c r="L70" s="6">
        <f t="shared" si="6"/>
        <v>3600</v>
      </c>
      <c r="M70" s="6">
        <f t="shared" si="7"/>
        <v>440</v>
      </c>
    </row>
    <row r="71" spans="1:13" hidden="1" x14ac:dyDescent="0.25">
      <c r="A71">
        <v>50</v>
      </c>
      <c r="B71" s="1">
        <v>43845</v>
      </c>
      <c r="C71" t="str">
        <f t="shared" si="4"/>
        <v>enero</v>
      </c>
      <c r="D71" t="s">
        <v>167</v>
      </c>
      <c r="E71" t="s">
        <v>55</v>
      </c>
      <c r="G71" t="s">
        <v>193</v>
      </c>
      <c r="H71">
        <v>1</v>
      </c>
      <c r="I71">
        <v>1100</v>
      </c>
      <c r="J71" s="9">
        <f t="shared" si="5"/>
        <v>1100</v>
      </c>
      <c r="L71" s="6">
        <f t="shared" si="6"/>
        <v>0</v>
      </c>
      <c r="M71" s="6">
        <f t="shared" si="7"/>
        <v>-1100</v>
      </c>
    </row>
    <row r="72" spans="1:13" hidden="1" x14ac:dyDescent="0.25">
      <c r="A72">
        <v>51</v>
      </c>
      <c r="B72" s="1">
        <v>43845</v>
      </c>
      <c r="C72" t="str">
        <f t="shared" si="4"/>
        <v>enero</v>
      </c>
      <c r="D72" t="s">
        <v>167</v>
      </c>
      <c r="E72" t="s">
        <v>70</v>
      </c>
      <c r="G72" t="s">
        <v>194</v>
      </c>
      <c r="H72">
        <v>2</v>
      </c>
      <c r="I72">
        <v>1655</v>
      </c>
      <c r="J72" s="9">
        <f t="shared" si="5"/>
        <v>3310</v>
      </c>
      <c r="K72" s="9">
        <v>1900</v>
      </c>
      <c r="L72" s="6">
        <f t="shared" si="6"/>
        <v>3800</v>
      </c>
      <c r="M72" s="6">
        <f t="shared" si="7"/>
        <v>490</v>
      </c>
    </row>
    <row r="73" spans="1:13" hidden="1" x14ac:dyDescent="0.25">
      <c r="A73">
        <v>52</v>
      </c>
      <c r="B73" s="1">
        <v>43845</v>
      </c>
      <c r="C73" t="str">
        <f t="shared" si="4"/>
        <v>enero</v>
      </c>
      <c r="D73" t="s">
        <v>167</v>
      </c>
      <c r="E73" t="s">
        <v>78</v>
      </c>
      <c r="G73" t="s">
        <v>79</v>
      </c>
      <c r="H73">
        <v>1</v>
      </c>
      <c r="I73">
        <v>1350</v>
      </c>
      <c r="J73" s="9">
        <f t="shared" si="5"/>
        <v>1350</v>
      </c>
      <c r="K73" s="9">
        <v>1550</v>
      </c>
      <c r="L73" s="6">
        <f t="shared" si="6"/>
        <v>1550</v>
      </c>
      <c r="M73" s="6">
        <f t="shared" si="7"/>
        <v>200</v>
      </c>
    </row>
    <row r="74" spans="1:13" hidden="1" x14ac:dyDescent="0.25">
      <c r="A74">
        <v>53</v>
      </c>
      <c r="B74" s="1">
        <v>43847</v>
      </c>
      <c r="C74" t="str">
        <f t="shared" si="4"/>
        <v>enero</v>
      </c>
      <c r="D74" t="s">
        <v>13</v>
      </c>
      <c r="E74" t="s">
        <v>55</v>
      </c>
      <c r="G74" t="s">
        <v>22</v>
      </c>
      <c r="H74">
        <v>1</v>
      </c>
      <c r="I74">
        <v>271</v>
      </c>
      <c r="J74" s="9">
        <f t="shared" si="5"/>
        <v>271</v>
      </c>
      <c r="K74" s="9">
        <v>290</v>
      </c>
      <c r="L74" s="10">
        <f t="shared" si="6"/>
        <v>290</v>
      </c>
      <c r="M74" s="10">
        <f t="shared" si="7"/>
        <v>19</v>
      </c>
    </row>
    <row r="75" spans="1:13" hidden="1" x14ac:dyDescent="0.25">
      <c r="A75">
        <v>54</v>
      </c>
      <c r="B75" s="1">
        <v>43847</v>
      </c>
      <c r="C75" t="str">
        <f t="shared" si="4"/>
        <v>enero</v>
      </c>
      <c r="D75" t="s">
        <v>13</v>
      </c>
      <c r="E75" t="s">
        <v>55</v>
      </c>
      <c r="G75" t="s">
        <v>39</v>
      </c>
      <c r="H75">
        <v>1</v>
      </c>
      <c r="I75">
        <v>271</v>
      </c>
      <c r="J75" s="9">
        <f t="shared" si="5"/>
        <v>271</v>
      </c>
      <c r="K75" s="9">
        <v>290</v>
      </c>
      <c r="L75" s="10">
        <f t="shared" si="6"/>
        <v>290</v>
      </c>
      <c r="M75" s="10">
        <f t="shared" si="7"/>
        <v>19</v>
      </c>
    </row>
    <row r="76" spans="1:13" hidden="1" x14ac:dyDescent="0.25">
      <c r="A76">
        <v>55</v>
      </c>
      <c r="B76" s="1">
        <v>43847</v>
      </c>
      <c r="C76" t="str">
        <f t="shared" si="4"/>
        <v>enero</v>
      </c>
      <c r="D76" t="s">
        <v>13</v>
      </c>
      <c r="E76" t="s">
        <v>55</v>
      </c>
      <c r="G76" t="s">
        <v>103</v>
      </c>
      <c r="H76">
        <v>2</v>
      </c>
      <c r="I76">
        <v>271</v>
      </c>
      <c r="J76" s="9">
        <f t="shared" si="5"/>
        <v>542</v>
      </c>
      <c r="K76" s="9">
        <v>290</v>
      </c>
      <c r="L76" s="10">
        <f t="shared" si="6"/>
        <v>580</v>
      </c>
      <c r="M76" s="10">
        <f t="shared" si="7"/>
        <v>38</v>
      </c>
    </row>
    <row r="77" spans="1:13" hidden="1" x14ac:dyDescent="0.25">
      <c r="A77">
        <v>56</v>
      </c>
      <c r="B77" s="1">
        <v>43847</v>
      </c>
      <c r="C77" t="str">
        <f t="shared" si="4"/>
        <v>enero</v>
      </c>
      <c r="D77" t="s">
        <v>13</v>
      </c>
      <c r="E77" t="s">
        <v>55</v>
      </c>
      <c r="G77" t="s">
        <v>111</v>
      </c>
      <c r="H77">
        <v>1</v>
      </c>
      <c r="I77">
        <v>271</v>
      </c>
      <c r="J77" s="9">
        <f t="shared" si="5"/>
        <v>271</v>
      </c>
      <c r="K77" s="9">
        <v>290</v>
      </c>
      <c r="L77" s="10">
        <f t="shared" si="6"/>
        <v>290</v>
      </c>
      <c r="M77" s="10">
        <f t="shared" si="7"/>
        <v>19</v>
      </c>
    </row>
    <row r="78" spans="1:13" hidden="1" x14ac:dyDescent="0.25">
      <c r="A78">
        <v>57</v>
      </c>
      <c r="B78" s="1">
        <v>43848</v>
      </c>
      <c r="C78" t="str">
        <f t="shared" si="4"/>
        <v>enero</v>
      </c>
      <c r="D78" t="s">
        <v>13</v>
      </c>
      <c r="E78" t="s">
        <v>55</v>
      </c>
      <c r="G78" t="s">
        <v>103</v>
      </c>
      <c r="H78">
        <v>1</v>
      </c>
      <c r="I78">
        <v>271</v>
      </c>
      <c r="J78" s="9">
        <f t="shared" si="5"/>
        <v>271</v>
      </c>
      <c r="K78" s="9">
        <v>290</v>
      </c>
      <c r="L78" s="10">
        <f t="shared" si="6"/>
        <v>290</v>
      </c>
      <c r="M78" s="10">
        <f t="shared" si="7"/>
        <v>19</v>
      </c>
    </row>
    <row r="79" spans="1:13" hidden="1" x14ac:dyDescent="0.25">
      <c r="A79">
        <v>58</v>
      </c>
      <c r="B79" s="1">
        <v>43848</v>
      </c>
      <c r="C79" t="str">
        <f t="shared" si="4"/>
        <v>enero</v>
      </c>
      <c r="D79" t="s">
        <v>13</v>
      </c>
      <c r="E79" t="s">
        <v>55</v>
      </c>
      <c r="G79" t="s">
        <v>112</v>
      </c>
      <c r="H79">
        <v>1</v>
      </c>
      <c r="I79">
        <v>271</v>
      </c>
      <c r="J79" s="9">
        <f t="shared" si="5"/>
        <v>271</v>
      </c>
      <c r="K79" s="9">
        <v>290</v>
      </c>
      <c r="L79" s="10">
        <f t="shared" si="6"/>
        <v>290</v>
      </c>
      <c r="M79" s="10">
        <f t="shared" si="7"/>
        <v>19</v>
      </c>
    </row>
    <row r="80" spans="1:13" x14ac:dyDescent="0.25">
      <c r="A80">
        <v>59</v>
      </c>
      <c r="B80" s="1">
        <v>43848</v>
      </c>
      <c r="C80" t="str">
        <f t="shared" si="4"/>
        <v>enero</v>
      </c>
      <c r="D80" t="s">
        <v>163</v>
      </c>
      <c r="E80" t="s">
        <v>15</v>
      </c>
      <c r="G80" t="s">
        <v>54</v>
      </c>
      <c r="H80">
        <v>100</v>
      </c>
      <c r="I80">
        <f>183.94*1.15</f>
        <v>211.53099999999998</v>
      </c>
      <c r="J80" s="9">
        <f t="shared" si="5"/>
        <v>21153.1</v>
      </c>
      <c r="K80" s="9">
        <v>240</v>
      </c>
      <c r="L80" s="6">
        <f t="shared" si="6"/>
        <v>24000</v>
      </c>
      <c r="M80" s="6">
        <f t="shared" si="7"/>
        <v>2846.9000000000015</v>
      </c>
    </row>
    <row r="81" spans="1:13" x14ac:dyDescent="0.25">
      <c r="A81">
        <v>60</v>
      </c>
      <c r="B81" s="1">
        <v>43848</v>
      </c>
      <c r="C81" t="str">
        <f t="shared" si="4"/>
        <v>enero</v>
      </c>
      <c r="D81" t="s">
        <v>163</v>
      </c>
      <c r="E81" t="s">
        <v>15</v>
      </c>
      <c r="G81" t="s">
        <v>96</v>
      </c>
      <c r="H81">
        <v>70</v>
      </c>
      <c r="I81">
        <f>158.1*1.15</f>
        <v>181.81499999999997</v>
      </c>
      <c r="J81" s="9">
        <f t="shared" si="5"/>
        <v>12727.049999999997</v>
      </c>
      <c r="K81" s="9">
        <v>240</v>
      </c>
      <c r="L81" s="6">
        <f t="shared" si="6"/>
        <v>16800</v>
      </c>
      <c r="M81" s="6">
        <f t="shared" si="7"/>
        <v>4072.9500000000025</v>
      </c>
    </row>
    <row r="82" spans="1:13" x14ac:dyDescent="0.25">
      <c r="A82">
        <v>61</v>
      </c>
      <c r="B82" s="1">
        <v>43848</v>
      </c>
      <c r="C82" t="str">
        <f t="shared" si="4"/>
        <v>enero</v>
      </c>
      <c r="D82" t="s">
        <v>163</v>
      </c>
      <c r="E82" t="s">
        <v>15</v>
      </c>
      <c r="G82" t="s">
        <v>63</v>
      </c>
      <c r="H82">
        <v>50</v>
      </c>
      <c r="I82">
        <f>176.8*1.15</f>
        <v>203.32</v>
      </c>
      <c r="J82" s="9">
        <f t="shared" si="5"/>
        <v>10166</v>
      </c>
      <c r="K82" s="9">
        <v>240</v>
      </c>
      <c r="L82" s="6">
        <f t="shared" si="6"/>
        <v>12000</v>
      </c>
      <c r="M82" s="6">
        <f t="shared" si="7"/>
        <v>1834</v>
      </c>
    </row>
    <row r="83" spans="1:13" x14ac:dyDescent="0.25">
      <c r="A83">
        <v>62</v>
      </c>
      <c r="B83" s="1">
        <v>43848</v>
      </c>
      <c r="C83" t="str">
        <f t="shared" si="4"/>
        <v>enero</v>
      </c>
      <c r="D83" t="s">
        <v>163</v>
      </c>
      <c r="E83" t="s">
        <v>15</v>
      </c>
      <c r="G83" t="s">
        <v>29</v>
      </c>
      <c r="H83">
        <v>100</v>
      </c>
      <c r="I83">
        <f>169.66*1.15</f>
        <v>195.10899999999998</v>
      </c>
      <c r="J83" s="9">
        <f t="shared" si="5"/>
        <v>19510.899999999998</v>
      </c>
      <c r="K83" s="9">
        <v>230</v>
      </c>
      <c r="L83" s="6">
        <f t="shared" si="6"/>
        <v>23000</v>
      </c>
      <c r="M83" s="6">
        <f t="shared" si="7"/>
        <v>3489.1000000000022</v>
      </c>
    </row>
    <row r="84" spans="1:13" x14ac:dyDescent="0.25">
      <c r="A84">
        <v>63</v>
      </c>
      <c r="B84" s="1">
        <v>43848</v>
      </c>
      <c r="C84" t="str">
        <f t="shared" si="4"/>
        <v>enero</v>
      </c>
      <c r="D84" t="s">
        <v>163</v>
      </c>
      <c r="E84" t="s">
        <v>15</v>
      </c>
      <c r="G84" t="s">
        <v>52</v>
      </c>
      <c r="H84">
        <v>60</v>
      </c>
      <c r="I84">
        <f>173.06*1.15</f>
        <v>199.01899999999998</v>
      </c>
      <c r="J84" s="9">
        <f t="shared" si="5"/>
        <v>11941.14</v>
      </c>
      <c r="K84" s="9">
        <v>240</v>
      </c>
      <c r="L84" s="6">
        <f t="shared" si="6"/>
        <v>14400</v>
      </c>
      <c r="M84" s="6">
        <f t="shared" si="7"/>
        <v>2458.8600000000006</v>
      </c>
    </row>
    <row r="85" spans="1:13" hidden="1" x14ac:dyDescent="0.25">
      <c r="A85">
        <v>64</v>
      </c>
      <c r="B85" s="1">
        <v>43848</v>
      </c>
      <c r="C85" t="str">
        <f t="shared" si="4"/>
        <v>enero</v>
      </c>
      <c r="D85" t="s">
        <v>163</v>
      </c>
      <c r="E85" t="s">
        <v>70</v>
      </c>
      <c r="G85" t="s">
        <v>140</v>
      </c>
      <c r="H85">
        <v>3</v>
      </c>
      <c r="I85">
        <f>1244.4*1.15</f>
        <v>1431.06</v>
      </c>
      <c r="J85" s="9">
        <f t="shared" si="5"/>
        <v>4293.18</v>
      </c>
      <c r="K85" s="9">
        <v>1600</v>
      </c>
      <c r="L85" s="6">
        <f t="shared" si="6"/>
        <v>4800</v>
      </c>
      <c r="M85" s="6">
        <f t="shared" si="7"/>
        <v>506.81999999999971</v>
      </c>
    </row>
    <row r="86" spans="1:13" hidden="1" x14ac:dyDescent="0.25">
      <c r="A86">
        <v>65</v>
      </c>
      <c r="B86" s="1">
        <v>43848</v>
      </c>
      <c r="C86" t="str">
        <f t="shared" si="4"/>
        <v>enero</v>
      </c>
      <c r="D86" t="s">
        <v>163</v>
      </c>
      <c r="E86" t="s">
        <v>70</v>
      </c>
      <c r="G86" t="s">
        <v>122</v>
      </c>
      <c r="H86">
        <v>1</v>
      </c>
      <c r="I86">
        <f>2375.58*1.15</f>
        <v>2731.9169999999999</v>
      </c>
      <c r="J86" s="9">
        <f t="shared" si="5"/>
        <v>2731.9169999999999</v>
      </c>
      <c r="K86" s="9">
        <v>3100</v>
      </c>
      <c r="L86" s="6">
        <f t="shared" si="6"/>
        <v>3100</v>
      </c>
      <c r="M86" s="6">
        <f t="shared" si="7"/>
        <v>368.08300000000008</v>
      </c>
    </row>
    <row r="87" spans="1:13" hidden="1" x14ac:dyDescent="0.25">
      <c r="A87">
        <v>66</v>
      </c>
      <c r="B87" s="1">
        <v>43850</v>
      </c>
      <c r="C87" t="str">
        <f t="shared" si="4"/>
        <v>enero</v>
      </c>
      <c r="D87" t="s">
        <v>13</v>
      </c>
      <c r="E87" t="s">
        <v>15</v>
      </c>
      <c r="G87" t="s">
        <v>110</v>
      </c>
      <c r="H87">
        <v>15.96</v>
      </c>
      <c r="I87">
        <v>271</v>
      </c>
      <c r="J87" s="9">
        <f t="shared" si="5"/>
        <v>4325.16</v>
      </c>
      <c r="K87" s="9">
        <v>290</v>
      </c>
      <c r="L87" s="10">
        <f t="shared" si="6"/>
        <v>4628.4000000000005</v>
      </c>
      <c r="M87" s="10">
        <f t="shared" si="7"/>
        <v>303.24000000000069</v>
      </c>
    </row>
    <row r="88" spans="1:13" hidden="1" x14ac:dyDescent="0.25">
      <c r="A88">
        <v>67</v>
      </c>
      <c r="B88" s="1">
        <v>43850</v>
      </c>
      <c r="C88" t="str">
        <f t="shared" si="4"/>
        <v>enero</v>
      </c>
      <c r="D88" t="s">
        <v>13</v>
      </c>
      <c r="E88" t="s">
        <v>55</v>
      </c>
      <c r="G88" t="s">
        <v>22</v>
      </c>
      <c r="H88">
        <v>14</v>
      </c>
      <c r="I88">
        <v>271</v>
      </c>
      <c r="J88" s="9">
        <f t="shared" si="5"/>
        <v>3794</v>
      </c>
      <c r="K88" s="9">
        <v>290</v>
      </c>
      <c r="L88" s="10">
        <f t="shared" si="6"/>
        <v>4060</v>
      </c>
      <c r="M88" s="10">
        <f t="shared" si="7"/>
        <v>266</v>
      </c>
    </row>
    <row r="89" spans="1:13" hidden="1" x14ac:dyDescent="0.25">
      <c r="A89">
        <v>68</v>
      </c>
      <c r="B89" s="1">
        <v>43850</v>
      </c>
      <c r="C89" t="str">
        <f t="shared" si="4"/>
        <v>enero</v>
      </c>
      <c r="D89" t="s">
        <v>13</v>
      </c>
      <c r="E89" t="s">
        <v>15</v>
      </c>
      <c r="G89" t="s">
        <v>21</v>
      </c>
      <c r="H89">
        <v>3.99</v>
      </c>
      <c r="I89">
        <v>271</v>
      </c>
      <c r="J89" s="9">
        <f t="shared" si="5"/>
        <v>1081.29</v>
      </c>
      <c r="K89" s="9">
        <v>290</v>
      </c>
      <c r="L89" s="10">
        <f t="shared" si="6"/>
        <v>1157.1000000000001</v>
      </c>
      <c r="M89" s="10">
        <f t="shared" si="7"/>
        <v>75.810000000000173</v>
      </c>
    </row>
    <row r="90" spans="1:13" hidden="1" x14ac:dyDescent="0.25">
      <c r="A90">
        <v>69</v>
      </c>
      <c r="B90" s="1">
        <v>43851</v>
      </c>
      <c r="C90" t="str">
        <f t="shared" si="4"/>
        <v>enero</v>
      </c>
      <c r="D90" t="s">
        <v>13</v>
      </c>
      <c r="E90" t="s">
        <v>55</v>
      </c>
      <c r="G90" t="s">
        <v>113</v>
      </c>
      <c r="H90">
        <v>8</v>
      </c>
      <c r="I90">
        <v>226</v>
      </c>
      <c r="J90" s="9">
        <f t="shared" si="5"/>
        <v>1808</v>
      </c>
      <c r="K90" s="9">
        <v>280</v>
      </c>
      <c r="L90" s="10">
        <f t="shared" si="6"/>
        <v>2240</v>
      </c>
      <c r="M90" s="10">
        <f t="shared" si="7"/>
        <v>432</v>
      </c>
    </row>
    <row r="91" spans="1:13" hidden="1" x14ac:dyDescent="0.25">
      <c r="A91">
        <v>70</v>
      </c>
      <c r="B91" s="1">
        <v>43851</v>
      </c>
      <c r="C91" t="str">
        <f t="shared" si="4"/>
        <v>enero</v>
      </c>
      <c r="D91" t="s">
        <v>13</v>
      </c>
      <c r="E91" t="s">
        <v>15</v>
      </c>
      <c r="G91" t="s">
        <v>21</v>
      </c>
      <c r="H91">
        <v>2.66</v>
      </c>
      <c r="I91">
        <v>271</v>
      </c>
      <c r="J91" s="9">
        <f t="shared" si="5"/>
        <v>720.86</v>
      </c>
      <c r="K91" s="9">
        <v>290</v>
      </c>
      <c r="L91" s="10">
        <f t="shared" si="6"/>
        <v>771.40000000000009</v>
      </c>
      <c r="M91" s="10">
        <f t="shared" si="7"/>
        <v>50.540000000000077</v>
      </c>
    </row>
    <row r="92" spans="1:13" hidden="1" x14ac:dyDescent="0.25">
      <c r="A92">
        <v>71</v>
      </c>
      <c r="B92" s="1">
        <v>43851</v>
      </c>
      <c r="C92" t="str">
        <f t="shared" si="4"/>
        <v>enero</v>
      </c>
      <c r="D92" t="s">
        <v>13</v>
      </c>
      <c r="E92" t="s">
        <v>55</v>
      </c>
      <c r="G92" t="s">
        <v>22</v>
      </c>
      <c r="H92">
        <v>2</v>
      </c>
      <c r="I92">
        <v>271</v>
      </c>
      <c r="J92" s="9">
        <f t="shared" si="5"/>
        <v>542</v>
      </c>
      <c r="K92" s="9">
        <v>290</v>
      </c>
      <c r="L92" s="10">
        <f t="shared" si="6"/>
        <v>580</v>
      </c>
      <c r="M92" s="10">
        <f t="shared" si="7"/>
        <v>38</v>
      </c>
    </row>
    <row r="93" spans="1:13" hidden="1" x14ac:dyDescent="0.25">
      <c r="A93">
        <v>72</v>
      </c>
      <c r="B93" s="1">
        <v>43851</v>
      </c>
      <c r="C93" t="str">
        <f t="shared" si="4"/>
        <v>enero</v>
      </c>
      <c r="D93" t="s">
        <v>13</v>
      </c>
      <c r="E93" t="s">
        <v>15</v>
      </c>
      <c r="G93" t="s">
        <v>104</v>
      </c>
      <c r="H93">
        <v>10.64</v>
      </c>
      <c r="I93">
        <v>271</v>
      </c>
      <c r="J93" s="9">
        <f t="shared" si="5"/>
        <v>2883.44</v>
      </c>
      <c r="K93" s="9">
        <v>290</v>
      </c>
      <c r="L93" s="10">
        <f t="shared" si="6"/>
        <v>3085.6000000000004</v>
      </c>
      <c r="M93" s="10">
        <f t="shared" si="7"/>
        <v>202.16000000000031</v>
      </c>
    </row>
    <row r="94" spans="1:13" hidden="1" x14ac:dyDescent="0.25">
      <c r="A94">
        <v>73</v>
      </c>
      <c r="B94" s="1">
        <v>43852</v>
      </c>
      <c r="C94" t="str">
        <f t="shared" si="4"/>
        <v>enero</v>
      </c>
      <c r="D94" t="s">
        <v>13</v>
      </c>
      <c r="E94" t="s">
        <v>64</v>
      </c>
      <c r="G94" t="s">
        <v>105</v>
      </c>
      <c r="H94">
        <v>2.38</v>
      </c>
      <c r="I94">
        <v>326</v>
      </c>
      <c r="J94" s="9">
        <f t="shared" si="5"/>
        <v>775.88</v>
      </c>
      <c r="K94" s="9">
        <v>430</v>
      </c>
      <c r="L94" s="10">
        <f t="shared" si="6"/>
        <v>1023.4</v>
      </c>
      <c r="M94" s="10">
        <f t="shared" si="7"/>
        <v>247.51999999999998</v>
      </c>
    </row>
    <row r="95" spans="1:13" hidden="1" x14ac:dyDescent="0.25">
      <c r="A95">
        <v>74</v>
      </c>
      <c r="B95" s="1">
        <v>43852</v>
      </c>
      <c r="C95" t="str">
        <f t="shared" si="4"/>
        <v>enero</v>
      </c>
      <c r="D95" t="s">
        <v>13</v>
      </c>
      <c r="E95" t="s">
        <v>55</v>
      </c>
      <c r="G95" t="s">
        <v>103</v>
      </c>
      <c r="H95">
        <v>4</v>
      </c>
      <c r="I95">
        <v>271</v>
      </c>
      <c r="J95" s="9">
        <f t="shared" si="5"/>
        <v>1084</v>
      </c>
      <c r="K95" s="9">
        <v>290</v>
      </c>
      <c r="L95" s="10">
        <f t="shared" si="6"/>
        <v>1160</v>
      </c>
      <c r="M95" s="10">
        <f t="shared" si="7"/>
        <v>76</v>
      </c>
    </row>
    <row r="96" spans="1:13" hidden="1" x14ac:dyDescent="0.25">
      <c r="A96">
        <v>75</v>
      </c>
      <c r="B96" s="1">
        <v>43854</v>
      </c>
      <c r="C96" t="str">
        <f t="shared" si="4"/>
        <v>enero</v>
      </c>
      <c r="D96" t="s">
        <v>99</v>
      </c>
      <c r="E96" t="s">
        <v>26</v>
      </c>
      <c r="G96" t="s">
        <v>100</v>
      </c>
      <c r="H96">
        <v>30.24</v>
      </c>
      <c r="I96">
        <v>301.798</v>
      </c>
      <c r="J96" s="9">
        <f t="shared" si="5"/>
        <v>9126.3715199999988</v>
      </c>
      <c r="K96" s="9">
        <v>380</v>
      </c>
      <c r="L96" s="10">
        <f t="shared" si="6"/>
        <v>11491.199999999999</v>
      </c>
      <c r="M96" s="10">
        <f t="shared" si="7"/>
        <v>2364.8284800000001</v>
      </c>
    </row>
    <row r="97" spans="1:13" hidden="1" x14ac:dyDescent="0.25">
      <c r="A97">
        <v>76</v>
      </c>
      <c r="B97" s="1">
        <v>43854</v>
      </c>
      <c r="C97" t="str">
        <f t="shared" si="4"/>
        <v>enero</v>
      </c>
      <c r="D97" t="s">
        <v>99</v>
      </c>
      <c r="E97" t="s">
        <v>26</v>
      </c>
      <c r="G97" t="s">
        <v>101</v>
      </c>
      <c r="H97">
        <v>1.44</v>
      </c>
      <c r="I97">
        <v>352.48599999999999</v>
      </c>
      <c r="J97" s="9">
        <f t="shared" si="5"/>
        <v>507.57983999999999</v>
      </c>
      <c r="K97" s="9">
        <v>400</v>
      </c>
      <c r="L97" s="10">
        <f t="shared" si="6"/>
        <v>576</v>
      </c>
      <c r="M97" s="10">
        <f t="shared" si="7"/>
        <v>68.42016000000001</v>
      </c>
    </row>
    <row r="98" spans="1:13" hidden="1" x14ac:dyDescent="0.25">
      <c r="A98">
        <v>77</v>
      </c>
      <c r="B98" s="1">
        <v>43855</v>
      </c>
      <c r="C98" t="str">
        <f t="shared" si="4"/>
        <v>enero</v>
      </c>
      <c r="D98" t="s">
        <v>13</v>
      </c>
      <c r="E98" t="s">
        <v>15</v>
      </c>
      <c r="G98" t="s">
        <v>17</v>
      </c>
      <c r="H98">
        <v>9.76</v>
      </c>
      <c r="I98">
        <v>326</v>
      </c>
      <c r="J98" s="9">
        <f t="shared" si="5"/>
        <v>3181.7599999999998</v>
      </c>
      <c r="K98" s="9">
        <v>360</v>
      </c>
      <c r="L98" s="10">
        <f t="shared" si="6"/>
        <v>3513.6</v>
      </c>
      <c r="M98" s="10">
        <f t="shared" si="7"/>
        <v>331.84000000000015</v>
      </c>
    </row>
    <row r="99" spans="1:13" x14ac:dyDescent="0.25">
      <c r="A99">
        <v>78</v>
      </c>
      <c r="B99" s="1">
        <v>43855</v>
      </c>
      <c r="C99" t="str">
        <f t="shared" si="4"/>
        <v>enero</v>
      </c>
      <c r="D99" t="s">
        <v>163</v>
      </c>
      <c r="E99" t="s">
        <v>15</v>
      </c>
      <c r="G99" t="s">
        <v>54</v>
      </c>
      <c r="H99">
        <v>100</v>
      </c>
      <c r="I99">
        <f>183.94*1.15</f>
        <v>211.53099999999998</v>
      </c>
      <c r="J99" s="9">
        <f t="shared" si="5"/>
        <v>21153.1</v>
      </c>
      <c r="K99" s="9">
        <v>240</v>
      </c>
      <c r="L99" s="6">
        <f t="shared" si="6"/>
        <v>24000</v>
      </c>
      <c r="M99" s="6">
        <f t="shared" si="7"/>
        <v>2846.9000000000015</v>
      </c>
    </row>
    <row r="100" spans="1:13" x14ac:dyDescent="0.25">
      <c r="A100">
        <v>79</v>
      </c>
      <c r="B100" s="1">
        <v>43855</v>
      </c>
      <c r="C100" t="str">
        <f t="shared" si="4"/>
        <v>enero</v>
      </c>
      <c r="D100" t="s">
        <v>163</v>
      </c>
      <c r="E100" t="s">
        <v>15</v>
      </c>
      <c r="G100" t="s">
        <v>153</v>
      </c>
      <c r="H100">
        <v>50</v>
      </c>
      <c r="I100">
        <f>168.3*1.15</f>
        <v>193.54499999999999</v>
      </c>
      <c r="J100" s="9">
        <f t="shared" si="5"/>
        <v>9677.25</v>
      </c>
      <c r="K100" s="9">
        <v>240</v>
      </c>
      <c r="L100" s="6">
        <f t="shared" si="6"/>
        <v>12000</v>
      </c>
      <c r="M100" s="6">
        <f t="shared" si="7"/>
        <v>2322.75</v>
      </c>
    </row>
    <row r="101" spans="1:13" x14ac:dyDescent="0.25">
      <c r="A101">
        <v>80</v>
      </c>
      <c r="B101" s="1">
        <v>43855</v>
      </c>
      <c r="C101" t="str">
        <f t="shared" si="4"/>
        <v>enero</v>
      </c>
      <c r="D101" t="s">
        <v>163</v>
      </c>
      <c r="E101" t="s">
        <v>15</v>
      </c>
      <c r="G101" t="s">
        <v>28</v>
      </c>
      <c r="H101">
        <v>50</v>
      </c>
      <c r="I101">
        <f>157.42*1.15</f>
        <v>181.03299999999996</v>
      </c>
      <c r="J101" s="9">
        <f t="shared" si="5"/>
        <v>9051.6499999999978</v>
      </c>
      <c r="K101" s="9">
        <v>230</v>
      </c>
      <c r="L101" s="6">
        <f t="shared" si="6"/>
        <v>11500</v>
      </c>
      <c r="M101" s="6">
        <f t="shared" si="7"/>
        <v>2448.3500000000022</v>
      </c>
    </row>
    <row r="102" spans="1:13" hidden="1" x14ac:dyDescent="0.25">
      <c r="A102">
        <v>81</v>
      </c>
      <c r="B102" s="1">
        <v>43855</v>
      </c>
      <c r="C102" t="str">
        <f t="shared" si="4"/>
        <v>enero</v>
      </c>
      <c r="D102" t="s">
        <v>163</v>
      </c>
      <c r="E102" t="s">
        <v>56</v>
      </c>
      <c r="G102" t="s">
        <v>171</v>
      </c>
      <c r="H102">
        <v>54</v>
      </c>
      <c r="I102">
        <f>112.88*1.15</f>
        <v>129.81199999999998</v>
      </c>
      <c r="J102" s="9">
        <f t="shared" si="5"/>
        <v>7009.847999999999</v>
      </c>
      <c r="K102" s="9">
        <v>170</v>
      </c>
      <c r="L102" s="6">
        <f t="shared" si="6"/>
        <v>9180</v>
      </c>
      <c r="M102" s="6">
        <f t="shared" si="7"/>
        <v>2170.152000000001</v>
      </c>
    </row>
    <row r="103" spans="1:13" hidden="1" x14ac:dyDescent="0.25">
      <c r="A103">
        <v>82</v>
      </c>
      <c r="B103" s="1">
        <v>43855</v>
      </c>
      <c r="C103" t="str">
        <f t="shared" si="4"/>
        <v>enero</v>
      </c>
      <c r="D103" t="s">
        <v>163</v>
      </c>
      <c r="E103" t="s">
        <v>70</v>
      </c>
      <c r="G103" t="s">
        <v>122</v>
      </c>
      <c r="H103">
        <v>1</v>
      </c>
      <c r="I103">
        <f>2375.58*1.15</f>
        <v>2731.9169999999999</v>
      </c>
      <c r="J103" s="9">
        <f t="shared" si="5"/>
        <v>2731.9169999999999</v>
      </c>
      <c r="K103" s="9">
        <v>3100</v>
      </c>
      <c r="L103" s="6">
        <f t="shared" si="6"/>
        <v>3100</v>
      </c>
      <c r="M103" s="6">
        <f t="shared" si="7"/>
        <v>368.08300000000008</v>
      </c>
    </row>
    <row r="104" spans="1:13" hidden="1" x14ac:dyDescent="0.25">
      <c r="A104">
        <v>83</v>
      </c>
      <c r="B104" s="1">
        <v>43857</v>
      </c>
      <c r="C104" t="str">
        <f t="shared" si="4"/>
        <v>enero</v>
      </c>
      <c r="D104" t="s">
        <v>13</v>
      </c>
      <c r="E104" t="s">
        <v>55</v>
      </c>
      <c r="G104" t="s">
        <v>114</v>
      </c>
      <c r="H104">
        <v>7</v>
      </c>
      <c r="I104">
        <v>271</v>
      </c>
      <c r="J104" s="9">
        <f t="shared" si="5"/>
        <v>1897</v>
      </c>
      <c r="K104" s="9">
        <v>290</v>
      </c>
      <c r="L104" s="10">
        <f t="shared" si="6"/>
        <v>2030</v>
      </c>
      <c r="M104" s="10">
        <f t="shared" si="7"/>
        <v>133</v>
      </c>
    </row>
    <row r="105" spans="1:13" hidden="1" x14ac:dyDescent="0.25">
      <c r="A105">
        <v>84</v>
      </c>
      <c r="B105" s="1">
        <v>43857</v>
      </c>
      <c r="C105" t="str">
        <f t="shared" si="4"/>
        <v>enero</v>
      </c>
      <c r="D105" t="s">
        <v>13</v>
      </c>
      <c r="E105" t="s">
        <v>15</v>
      </c>
      <c r="G105" t="s">
        <v>110</v>
      </c>
      <c r="H105">
        <v>1.33</v>
      </c>
      <c r="I105">
        <v>271</v>
      </c>
      <c r="J105" s="9">
        <f t="shared" si="5"/>
        <v>360.43</v>
      </c>
      <c r="K105" s="9">
        <v>290</v>
      </c>
      <c r="L105" s="10">
        <f t="shared" si="6"/>
        <v>385.70000000000005</v>
      </c>
      <c r="M105" s="10">
        <f t="shared" si="7"/>
        <v>25.270000000000039</v>
      </c>
    </row>
    <row r="106" spans="1:13" hidden="1" x14ac:dyDescent="0.25">
      <c r="A106">
        <v>85</v>
      </c>
      <c r="B106" s="1">
        <v>43857</v>
      </c>
      <c r="C106" t="str">
        <f t="shared" si="4"/>
        <v>enero</v>
      </c>
      <c r="D106" t="s">
        <v>13</v>
      </c>
      <c r="E106" t="s">
        <v>55</v>
      </c>
      <c r="G106" t="s">
        <v>102</v>
      </c>
      <c r="H106">
        <v>2</v>
      </c>
      <c r="I106">
        <v>271</v>
      </c>
      <c r="J106" s="9">
        <f t="shared" si="5"/>
        <v>542</v>
      </c>
      <c r="K106" s="9">
        <v>290</v>
      </c>
      <c r="L106" s="10">
        <f t="shared" si="6"/>
        <v>580</v>
      </c>
      <c r="M106" s="10">
        <f t="shared" si="7"/>
        <v>38</v>
      </c>
    </row>
    <row r="107" spans="1:13" hidden="1" x14ac:dyDescent="0.25">
      <c r="A107">
        <v>86</v>
      </c>
      <c r="B107" s="1">
        <v>43857</v>
      </c>
      <c r="C107" t="str">
        <f t="shared" si="4"/>
        <v>enero</v>
      </c>
      <c r="D107" t="s">
        <v>13</v>
      </c>
      <c r="E107" t="s">
        <v>55</v>
      </c>
      <c r="G107" t="s">
        <v>103</v>
      </c>
      <c r="H107">
        <v>4</v>
      </c>
      <c r="I107">
        <v>271</v>
      </c>
      <c r="J107" s="9">
        <f t="shared" si="5"/>
        <v>1084</v>
      </c>
      <c r="K107" s="9">
        <v>290</v>
      </c>
      <c r="L107" s="10">
        <f t="shared" si="6"/>
        <v>1160</v>
      </c>
      <c r="M107" s="10">
        <f t="shared" si="7"/>
        <v>76</v>
      </c>
    </row>
    <row r="108" spans="1:13" hidden="1" x14ac:dyDescent="0.25">
      <c r="A108">
        <v>87</v>
      </c>
      <c r="B108" s="1">
        <v>43859</v>
      </c>
      <c r="C108" t="str">
        <f t="shared" si="4"/>
        <v>enero</v>
      </c>
      <c r="D108" t="s">
        <v>13</v>
      </c>
      <c r="E108" t="s">
        <v>55</v>
      </c>
      <c r="G108" t="s">
        <v>113</v>
      </c>
      <c r="H108">
        <v>4</v>
      </c>
      <c r="I108">
        <v>226</v>
      </c>
      <c r="J108" s="9">
        <f t="shared" si="5"/>
        <v>904</v>
      </c>
      <c r="K108" s="9">
        <v>290</v>
      </c>
      <c r="L108" s="10">
        <f t="shared" si="6"/>
        <v>1160</v>
      </c>
      <c r="M108" s="10">
        <f t="shared" si="7"/>
        <v>256</v>
      </c>
    </row>
    <row r="109" spans="1:13" hidden="1" x14ac:dyDescent="0.25">
      <c r="A109">
        <v>88</v>
      </c>
      <c r="B109" s="1">
        <v>43859</v>
      </c>
      <c r="C109" t="str">
        <f t="shared" si="4"/>
        <v>enero</v>
      </c>
      <c r="D109" t="s">
        <v>13</v>
      </c>
      <c r="E109" t="s">
        <v>55</v>
      </c>
      <c r="G109" t="s">
        <v>115</v>
      </c>
      <c r="H109">
        <v>2</v>
      </c>
      <c r="I109">
        <v>226</v>
      </c>
      <c r="J109" s="9">
        <f t="shared" si="5"/>
        <v>452</v>
      </c>
      <c r="K109" s="9">
        <v>280</v>
      </c>
      <c r="L109" s="10">
        <f t="shared" si="6"/>
        <v>560</v>
      </c>
      <c r="M109" s="10">
        <f t="shared" si="7"/>
        <v>108</v>
      </c>
    </row>
    <row r="110" spans="1:13" hidden="1" x14ac:dyDescent="0.25">
      <c r="A110">
        <v>89</v>
      </c>
      <c r="B110" s="1">
        <v>43859</v>
      </c>
      <c r="C110" t="str">
        <f t="shared" si="4"/>
        <v>enero</v>
      </c>
      <c r="D110" t="s">
        <v>13</v>
      </c>
      <c r="E110" t="s">
        <v>55</v>
      </c>
      <c r="G110" t="s">
        <v>107</v>
      </c>
      <c r="H110">
        <v>3</v>
      </c>
      <c r="I110">
        <v>271</v>
      </c>
      <c r="J110" s="9">
        <f t="shared" si="5"/>
        <v>813</v>
      </c>
      <c r="K110" s="9">
        <v>290</v>
      </c>
      <c r="L110" s="10">
        <f t="shared" si="6"/>
        <v>870</v>
      </c>
      <c r="M110" s="10">
        <f t="shared" si="7"/>
        <v>57</v>
      </c>
    </row>
    <row r="111" spans="1:13" hidden="1" x14ac:dyDescent="0.25">
      <c r="A111">
        <v>90</v>
      </c>
      <c r="B111" s="1">
        <v>43859</v>
      </c>
      <c r="C111" t="str">
        <f t="shared" si="4"/>
        <v>enero</v>
      </c>
      <c r="D111" t="s">
        <v>13</v>
      </c>
      <c r="E111" t="s">
        <v>55</v>
      </c>
      <c r="G111" t="s">
        <v>116</v>
      </c>
      <c r="H111">
        <v>2</v>
      </c>
      <c r="I111">
        <v>271</v>
      </c>
      <c r="J111" s="9">
        <f t="shared" si="5"/>
        <v>542</v>
      </c>
      <c r="K111" s="9">
        <v>290</v>
      </c>
      <c r="L111" s="10">
        <f t="shared" si="6"/>
        <v>580</v>
      </c>
      <c r="M111" s="10">
        <f t="shared" si="7"/>
        <v>38</v>
      </c>
    </row>
    <row r="112" spans="1:13" hidden="1" x14ac:dyDescent="0.25">
      <c r="A112">
        <v>91</v>
      </c>
      <c r="B112" s="1">
        <v>43861</v>
      </c>
      <c r="C112" t="str">
        <f t="shared" si="4"/>
        <v>enero</v>
      </c>
      <c r="D112" t="s">
        <v>13</v>
      </c>
      <c r="E112" t="s">
        <v>55</v>
      </c>
      <c r="G112" t="s">
        <v>114</v>
      </c>
      <c r="H112">
        <v>2</v>
      </c>
      <c r="I112">
        <v>271</v>
      </c>
      <c r="J112" s="9">
        <f t="shared" si="5"/>
        <v>542</v>
      </c>
      <c r="K112" s="9">
        <v>290</v>
      </c>
      <c r="L112" s="10">
        <f t="shared" si="6"/>
        <v>580</v>
      </c>
      <c r="M112" s="10">
        <f t="shared" si="7"/>
        <v>38</v>
      </c>
    </row>
    <row r="113" spans="1:13" hidden="1" x14ac:dyDescent="0.25">
      <c r="A113">
        <v>92</v>
      </c>
      <c r="B113" s="1">
        <v>43861</v>
      </c>
      <c r="C113" t="str">
        <f t="shared" si="4"/>
        <v>enero</v>
      </c>
      <c r="D113" t="s">
        <v>13</v>
      </c>
      <c r="E113" t="s">
        <v>55</v>
      </c>
      <c r="G113" t="s">
        <v>117</v>
      </c>
      <c r="H113">
        <v>2</v>
      </c>
      <c r="I113">
        <v>271</v>
      </c>
      <c r="J113" s="9">
        <f t="shared" si="5"/>
        <v>542</v>
      </c>
      <c r="K113" s="9">
        <v>290</v>
      </c>
      <c r="L113" s="10">
        <f t="shared" si="6"/>
        <v>580</v>
      </c>
      <c r="M113" s="10">
        <f t="shared" si="7"/>
        <v>38</v>
      </c>
    </row>
    <row r="114" spans="1:13" hidden="1" x14ac:dyDescent="0.25">
      <c r="A114">
        <v>93</v>
      </c>
      <c r="B114" s="1">
        <v>43861</v>
      </c>
      <c r="C114" t="str">
        <f t="shared" si="4"/>
        <v>enero</v>
      </c>
      <c r="D114" t="s">
        <v>13</v>
      </c>
      <c r="E114" t="s">
        <v>15</v>
      </c>
      <c r="G114" t="s">
        <v>17</v>
      </c>
      <c r="H114">
        <v>2.44</v>
      </c>
      <c r="I114">
        <v>326</v>
      </c>
      <c r="J114" s="9">
        <f t="shared" si="5"/>
        <v>795.43999999999994</v>
      </c>
      <c r="K114" s="9">
        <v>360</v>
      </c>
      <c r="L114" s="10">
        <f t="shared" si="6"/>
        <v>878.4</v>
      </c>
      <c r="M114" s="10">
        <f t="shared" si="7"/>
        <v>82.960000000000036</v>
      </c>
    </row>
    <row r="115" spans="1:13" hidden="1" x14ac:dyDescent="0.25">
      <c r="A115">
        <v>1</v>
      </c>
      <c r="B115" s="1">
        <v>43862</v>
      </c>
      <c r="C115" t="str">
        <f t="shared" si="4"/>
        <v>febrero</v>
      </c>
      <c r="D115" t="s">
        <v>13</v>
      </c>
      <c r="E115" t="s">
        <v>55</v>
      </c>
      <c r="G115" t="s">
        <v>117</v>
      </c>
      <c r="H115">
        <v>1</v>
      </c>
      <c r="I115">
        <v>271</v>
      </c>
      <c r="J115" s="9">
        <f t="shared" si="5"/>
        <v>271</v>
      </c>
      <c r="K115" s="9">
        <v>290</v>
      </c>
      <c r="L115" s="10">
        <f t="shared" si="6"/>
        <v>290</v>
      </c>
      <c r="M115" s="10">
        <f t="shared" si="7"/>
        <v>19</v>
      </c>
    </row>
    <row r="116" spans="1:13" hidden="1" x14ac:dyDescent="0.25">
      <c r="A116">
        <v>2</v>
      </c>
      <c r="B116" s="1">
        <v>43862</v>
      </c>
      <c r="C116" t="str">
        <f t="shared" si="4"/>
        <v>febrero</v>
      </c>
      <c r="D116" t="s">
        <v>13</v>
      </c>
      <c r="E116" t="s">
        <v>55</v>
      </c>
      <c r="G116" t="s">
        <v>114</v>
      </c>
      <c r="H116">
        <v>2</v>
      </c>
      <c r="I116">
        <v>271</v>
      </c>
      <c r="J116" s="9">
        <f t="shared" si="5"/>
        <v>542</v>
      </c>
      <c r="K116" s="9">
        <v>290</v>
      </c>
      <c r="L116" s="10">
        <f t="shared" si="6"/>
        <v>580</v>
      </c>
      <c r="M116" s="10">
        <f t="shared" si="7"/>
        <v>38</v>
      </c>
    </row>
    <row r="117" spans="1:13" x14ac:dyDescent="0.25">
      <c r="A117">
        <v>3</v>
      </c>
      <c r="B117" s="1">
        <v>43862</v>
      </c>
      <c r="C117" t="str">
        <f t="shared" si="4"/>
        <v>febrero</v>
      </c>
      <c r="D117" t="s">
        <v>163</v>
      </c>
      <c r="E117" t="s">
        <v>15</v>
      </c>
      <c r="G117" t="s">
        <v>20</v>
      </c>
      <c r="H117">
        <v>100</v>
      </c>
      <c r="I117">
        <f>187*1.15</f>
        <v>215.04999999999998</v>
      </c>
      <c r="J117" s="9">
        <f t="shared" si="5"/>
        <v>21505</v>
      </c>
      <c r="K117" s="9">
        <v>240</v>
      </c>
      <c r="L117" s="6">
        <f t="shared" si="6"/>
        <v>24000</v>
      </c>
      <c r="M117" s="6">
        <f t="shared" si="7"/>
        <v>2495</v>
      </c>
    </row>
    <row r="118" spans="1:13" x14ac:dyDescent="0.25">
      <c r="A118">
        <v>4</v>
      </c>
      <c r="B118" s="1">
        <v>43862</v>
      </c>
      <c r="C118" t="str">
        <f t="shared" si="4"/>
        <v>febrero</v>
      </c>
      <c r="D118" t="s">
        <v>163</v>
      </c>
      <c r="E118" t="s">
        <v>15</v>
      </c>
      <c r="G118" t="s">
        <v>29</v>
      </c>
      <c r="H118">
        <v>50</v>
      </c>
      <c r="I118">
        <f>169.66*1.15</f>
        <v>195.10899999999998</v>
      </c>
      <c r="J118" s="9">
        <f t="shared" si="5"/>
        <v>9755.4499999999989</v>
      </c>
      <c r="K118" s="9">
        <v>230</v>
      </c>
      <c r="L118" s="6">
        <f t="shared" si="6"/>
        <v>11500</v>
      </c>
      <c r="M118" s="6">
        <f t="shared" si="7"/>
        <v>1744.5500000000011</v>
      </c>
    </row>
    <row r="119" spans="1:13" x14ac:dyDescent="0.25">
      <c r="A119">
        <v>5</v>
      </c>
      <c r="B119" s="1">
        <v>43862</v>
      </c>
      <c r="C119" t="str">
        <f t="shared" si="4"/>
        <v>febrero</v>
      </c>
      <c r="D119" t="s">
        <v>163</v>
      </c>
      <c r="E119" t="s">
        <v>15</v>
      </c>
      <c r="G119" t="s">
        <v>80</v>
      </c>
      <c r="H119">
        <v>50</v>
      </c>
      <c r="I119">
        <f>183.6*1.15</f>
        <v>211.14</v>
      </c>
      <c r="J119" s="9">
        <f t="shared" si="5"/>
        <v>10557</v>
      </c>
      <c r="K119" s="9">
        <v>240</v>
      </c>
      <c r="L119" s="6">
        <f t="shared" si="6"/>
        <v>12000</v>
      </c>
      <c r="M119" s="6">
        <f t="shared" si="7"/>
        <v>1443</v>
      </c>
    </row>
    <row r="120" spans="1:13" x14ac:dyDescent="0.25">
      <c r="A120">
        <v>6</v>
      </c>
      <c r="B120" s="1">
        <v>43862</v>
      </c>
      <c r="C120" t="str">
        <f t="shared" si="4"/>
        <v>febrero</v>
      </c>
      <c r="D120" t="s">
        <v>163</v>
      </c>
      <c r="E120" t="s">
        <v>15</v>
      </c>
      <c r="G120" t="s">
        <v>76</v>
      </c>
      <c r="H120">
        <v>10</v>
      </c>
      <c r="I120">
        <f>152.66*1.15</f>
        <v>175.55899999999997</v>
      </c>
      <c r="J120" s="9">
        <f t="shared" si="5"/>
        <v>1755.5899999999997</v>
      </c>
      <c r="K120" s="9">
        <v>230</v>
      </c>
      <c r="L120" s="6">
        <f t="shared" si="6"/>
        <v>2300</v>
      </c>
      <c r="M120" s="6">
        <f t="shared" si="7"/>
        <v>544.41000000000031</v>
      </c>
    </row>
    <row r="121" spans="1:13" x14ac:dyDescent="0.25">
      <c r="A121">
        <v>7</v>
      </c>
      <c r="B121" s="1">
        <v>43862</v>
      </c>
      <c r="C121" t="str">
        <f t="shared" si="4"/>
        <v>febrero</v>
      </c>
      <c r="D121" t="s">
        <v>163</v>
      </c>
      <c r="E121" t="s">
        <v>15</v>
      </c>
      <c r="G121" t="s">
        <v>32</v>
      </c>
      <c r="H121">
        <v>10</v>
      </c>
      <c r="I121">
        <f>185.65*1.15</f>
        <v>213.4975</v>
      </c>
      <c r="J121" s="9">
        <f t="shared" si="5"/>
        <v>2134.9749999999999</v>
      </c>
      <c r="K121" s="9">
        <v>280</v>
      </c>
      <c r="L121" s="6">
        <f t="shared" si="6"/>
        <v>2800</v>
      </c>
      <c r="M121" s="6">
        <f t="shared" si="7"/>
        <v>665.02500000000009</v>
      </c>
    </row>
    <row r="122" spans="1:13" hidden="1" x14ac:dyDescent="0.25">
      <c r="A122">
        <v>8</v>
      </c>
      <c r="B122" s="1">
        <v>43862</v>
      </c>
      <c r="C122" t="str">
        <f t="shared" si="4"/>
        <v>febrero</v>
      </c>
      <c r="D122" t="s">
        <v>163</v>
      </c>
      <c r="E122" t="s">
        <v>25</v>
      </c>
      <c r="G122" t="s">
        <v>172</v>
      </c>
      <c r="H122">
        <v>5</v>
      </c>
      <c r="I122">
        <f>59.5*1.15</f>
        <v>68.424999999999997</v>
      </c>
      <c r="J122" s="9">
        <f t="shared" si="5"/>
        <v>342.125</v>
      </c>
      <c r="K122" s="9">
        <v>100</v>
      </c>
      <c r="L122" s="6">
        <f t="shared" si="6"/>
        <v>500</v>
      </c>
      <c r="M122" s="6">
        <f t="shared" si="7"/>
        <v>157.875</v>
      </c>
    </row>
    <row r="123" spans="1:13" hidden="1" x14ac:dyDescent="0.25">
      <c r="A123">
        <v>9</v>
      </c>
      <c r="B123" s="1">
        <v>43862</v>
      </c>
      <c r="C123" t="str">
        <f t="shared" si="4"/>
        <v>febrero</v>
      </c>
      <c r="D123" t="s">
        <v>163</v>
      </c>
      <c r="E123" t="s">
        <v>25</v>
      </c>
      <c r="G123" t="s">
        <v>173</v>
      </c>
      <c r="H123">
        <v>5</v>
      </c>
      <c r="I123">
        <f>59.5*1.15</f>
        <v>68.424999999999997</v>
      </c>
      <c r="J123" s="9">
        <f t="shared" si="5"/>
        <v>342.125</v>
      </c>
      <c r="K123" s="9">
        <v>100</v>
      </c>
      <c r="L123" s="6">
        <f t="shared" si="6"/>
        <v>500</v>
      </c>
      <c r="M123" s="6">
        <f t="shared" si="7"/>
        <v>157.875</v>
      </c>
    </row>
    <row r="124" spans="1:13" hidden="1" x14ac:dyDescent="0.25">
      <c r="A124">
        <v>10</v>
      </c>
      <c r="B124" s="1">
        <v>43862</v>
      </c>
      <c r="C124" t="str">
        <f t="shared" si="4"/>
        <v>febrero</v>
      </c>
      <c r="D124" t="s">
        <v>163</v>
      </c>
      <c r="E124" t="s">
        <v>25</v>
      </c>
      <c r="G124" t="s">
        <v>174</v>
      </c>
      <c r="H124">
        <v>5</v>
      </c>
      <c r="I124">
        <f>59.5*1.15</f>
        <v>68.424999999999997</v>
      </c>
      <c r="J124" s="9">
        <f t="shared" si="5"/>
        <v>342.125</v>
      </c>
      <c r="K124" s="9">
        <v>100</v>
      </c>
      <c r="L124" s="6">
        <f t="shared" si="6"/>
        <v>500</v>
      </c>
      <c r="M124" s="6">
        <f t="shared" si="7"/>
        <v>157.875</v>
      </c>
    </row>
    <row r="125" spans="1:13" hidden="1" x14ac:dyDescent="0.25">
      <c r="A125">
        <v>11</v>
      </c>
      <c r="B125" s="1">
        <v>43862</v>
      </c>
      <c r="C125" t="str">
        <f t="shared" si="4"/>
        <v>febrero</v>
      </c>
      <c r="D125" t="s">
        <v>163</v>
      </c>
      <c r="E125" t="s">
        <v>75</v>
      </c>
      <c r="G125" t="s">
        <v>175</v>
      </c>
      <c r="H125">
        <v>30</v>
      </c>
      <c r="I125">
        <f>19.72*1.15</f>
        <v>22.677999999999997</v>
      </c>
      <c r="J125" s="9">
        <f t="shared" si="5"/>
        <v>680.33999999999992</v>
      </c>
      <c r="K125" s="9">
        <v>45</v>
      </c>
      <c r="L125" s="6">
        <f t="shared" si="6"/>
        <v>1350</v>
      </c>
      <c r="M125" s="6">
        <f t="shared" si="7"/>
        <v>669.66000000000008</v>
      </c>
    </row>
    <row r="126" spans="1:13" hidden="1" x14ac:dyDescent="0.25">
      <c r="A126">
        <v>12</v>
      </c>
      <c r="B126" s="1">
        <v>43862</v>
      </c>
      <c r="C126" t="str">
        <f t="shared" si="4"/>
        <v>febrero</v>
      </c>
      <c r="D126" t="s">
        <v>163</v>
      </c>
      <c r="E126" t="s">
        <v>56</v>
      </c>
      <c r="G126" t="s">
        <v>176</v>
      </c>
      <c r="H126">
        <v>13</v>
      </c>
      <c r="I126">
        <f>173.06*1.15</f>
        <v>199.01899999999998</v>
      </c>
      <c r="J126" s="9">
        <f t="shared" si="5"/>
        <v>2587.2469999999998</v>
      </c>
      <c r="K126" s="9">
        <v>260</v>
      </c>
      <c r="L126" s="6">
        <f t="shared" si="6"/>
        <v>3380</v>
      </c>
      <c r="M126" s="6">
        <f t="shared" si="7"/>
        <v>792.75300000000016</v>
      </c>
    </row>
    <row r="127" spans="1:13" hidden="1" x14ac:dyDescent="0.25">
      <c r="A127">
        <v>13</v>
      </c>
      <c r="B127" s="1">
        <v>43864</v>
      </c>
      <c r="C127" t="str">
        <f t="shared" si="4"/>
        <v>febrero</v>
      </c>
      <c r="D127" t="s">
        <v>13</v>
      </c>
      <c r="E127" t="s">
        <v>55</v>
      </c>
      <c r="G127" t="s">
        <v>135</v>
      </c>
      <c r="H127">
        <v>2</v>
      </c>
      <c r="I127">
        <v>271</v>
      </c>
      <c r="J127" s="9">
        <f t="shared" si="5"/>
        <v>542</v>
      </c>
      <c r="K127" s="9">
        <v>290</v>
      </c>
      <c r="L127" s="10">
        <f t="shared" si="6"/>
        <v>580</v>
      </c>
      <c r="M127" s="10">
        <f t="shared" si="7"/>
        <v>38</v>
      </c>
    </row>
    <row r="128" spans="1:13" hidden="1" x14ac:dyDescent="0.25">
      <c r="A128">
        <v>14</v>
      </c>
      <c r="B128" s="1">
        <v>43864</v>
      </c>
      <c r="C128" t="str">
        <f t="shared" si="4"/>
        <v>febrero</v>
      </c>
      <c r="D128" t="s">
        <v>13</v>
      </c>
      <c r="E128" t="s">
        <v>55</v>
      </c>
      <c r="G128" t="s">
        <v>14</v>
      </c>
      <c r="H128">
        <v>6</v>
      </c>
      <c r="I128">
        <v>271</v>
      </c>
      <c r="J128" s="9">
        <f t="shared" si="5"/>
        <v>1626</v>
      </c>
      <c r="K128" s="9">
        <v>290</v>
      </c>
      <c r="L128" s="10">
        <f t="shared" si="6"/>
        <v>1740</v>
      </c>
      <c r="M128" s="10">
        <f t="shared" si="7"/>
        <v>114</v>
      </c>
    </row>
    <row r="129" spans="1:13" hidden="1" x14ac:dyDescent="0.25">
      <c r="A129">
        <v>15</v>
      </c>
      <c r="B129" s="1">
        <v>43864</v>
      </c>
      <c r="C129" t="str">
        <f t="shared" si="4"/>
        <v>febrero</v>
      </c>
      <c r="D129" t="s">
        <v>13</v>
      </c>
      <c r="E129" t="s">
        <v>55</v>
      </c>
      <c r="G129" t="s">
        <v>111</v>
      </c>
      <c r="H129">
        <v>1</v>
      </c>
      <c r="I129">
        <v>271</v>
      </c>
      <c r="J129" s="9">
        <f t="shared" si="5"/>
        <v>271</v>
      </c>
      <c r="K129" s="9">
        <v>290</v>
      </c>
      <c r="L129" s="10">
        <f t="shared" si="6"/>
        <v>290</v>
      </c>
      <c r="M129" s="10">
        <f t="shared" si="7"/>
        <v>19</v>
      </c>
    </row>
    <row r="130" spans="1:13" hidden="1" x14ac:dyDescent="0.25">
      <c r="A130">
        <v>16</v>
      </c>
      <c r="B130" s="1">
        <v>43864</v>
      </c>
      <c r="C130" t="str">
        <f t="shared" ref="C130:C193" si="8">+TEXT(B130,"mmmm")</f>
        <v>febrero</v>
      </c>
      <c r="D130" t="s">
        <v>13</v>
      </c>
      <c r="E130" t="s">
        <v>55</v>
      </c>
      <c r="G130" t="s">
        <v>111</v>
      </c>
      <c r="H130">
        <v>3</v>
      </c>
      <c r="I130">
        <v>271</v>
      </c>
      <c r="J130" s="9">
        <f t="shared" ref="J130:J193" si="9">+H130*I130</f>
        <v>813</v>
      </c>
      <c r="K130" s="9">
        <v>290</v>
      </c>
      <c r="L130" s="10">
        <f t="shared" ref="L130:L193" si="10">+H130*K130</f>
        <v>870</v>
      </c>
      <c r="M130" s="10">
        <f t="shared" ref="M130:M193" si="11">+L130-J130</f>
        <v>57</v>
      </c>
    </row>
    <row r="131" spans="1:13" hidden="1" x14ac:dyDescent="0.25">
      <c r="A131">
        <v>17</v>
      </c>
      <c r="B131" s="1">
        <v>43864</v>
      </c>
      <c r="C131" t="str">
        <f t="shared" si="8"/>
        <v>febrero</v>
      </c>
      <c r="D131" t="s">
        <v>13</v>
      </c>
      <c r="E131" t="s">
        <v>55</v>
      </c>
      <c r="G131" t="s">
        <v>22</v>
      </c>
      <c r="H131">
        <v>3</v>
      </c>
      <c r="I131">
        <v>271</v>
      </c>
      <c r="J131" s="9">
        <f t="shared" si="9"/>
        <v>813</v>
      </c>
      <c r="K131" s="9">
        <v>290</v>
      </c>
      <c r="L131" s="10">
        <f t="shared" si="10"/>
        <v>870</v>
      </c>
      <c r="M131" s="10">
        <f t="shared" si="11"/>
        <v>57</v>
      </c>
    </row>
    <row r="132" spans="1:13" hidden="1" x14ac:dyDescent="0.25">
      <c r="A132">
        <v>18</v>
      </c>
      <c r="B132" s="1">
        <v>43864</v>
      </c>
      <c r="C132" t="str">
        <f t="shared" si="8"/>
        <v>febrero</v>
      </c>
      <c r="D132" t="s">
        <v>13</v>
      </c>
      <c r="E132" t="s">
        <v>55</v>
      </c>
      <c r="G132" t="s">
        <v>135</v>
      </c>
      <c r="H132">
        <v>2</v>
      </c>
      <c r="I132">
        <v>271</v>
      </c>
      <c r="J132" s="9">
        <f t="shared" si="9"/>
        <v>542</v>
      </c>
      <c r="K132" s="9">
        <v>290</v>
      </c>
      <c r="L132" s="10">
        <f t="shared" si="10"/>
        <v>580</v>
      </c>
      <c r="M132" s="10">
        <f t="shared" si="11"/>
        <v>38</v>
      </c>
    </row>
    <row r="133" spans="1:13" hidden="1" x14ac:dyDescent="0.25">
      <c r="A133">
        <v>19</v>
      </c>
      <c r="B133" s="1">
        <v>43865</v>
      </c>
      <c r="C133" t="str">
        <f t="shared" si="8"/>
        <v>febrero</v>
      </c>
      <c r="D133" t="s">
        <v>13</v>
      </c>
      <c r="E133" t="s">
        <v>55</v>
      </c>
      <c r="G133" t="s">
        <v>22</v>
      </c>
      <c r="H133">
        <v>7</v>
      </c>
      <c r="I133">
        <v>271</v>
      </c>
      <c r="J133" s="9">
        <f t="shared" si="9"/>
        <v>1897</v>
      </c>
      <c r="K133" s="9">
        <v>290</v>
      </c>
      <c r="L133" s="6">
        <f t="shared" si="10"/>
        <v>2030</v>
      </c>
      <c r="M133" s="5">
        <f t="shared" si="11"/>
        <v>133</v>
      </c>
    </row>
    <row r="134" spans="1:13" hidden="1" x14ac:dyDescent="0.25">
      <c r="A134">
        <v>20</v>
      </c>
      <c r="B134" s="1">
        <v>43865</v>
      </c>
      <c r="C134" t="str">
        <f t="shared" si="8"/>
        <v>febrero</v>
      </c>
      <c r="D134" t="s">
        <v>13</v>
      </c>
      <c r="E134" t="s">
        <v>15</v>
      </c>
      <c r="G134" t="s">
        <v>110</v>
      </c>
      <c r="H134">
        <v>13.3</v>
      </c>
      <c r="I134">
        <v>271</v>
      </c>
      <c r="J134" s="9">
        <f t="shared" si="9"/>
        <v>3604.3</v>
      </c>
      <c r="K134" s="9">
        <v>290</v>
      </c>
      <c r="L134" s="6">
        <f t="shared" si="10"/>
        <v>3857</v>
      </c>
      <c r="M134" s="9">
        <f t="shared" si="11"/>
        <v>252.69999999999982</v>
      </c>
    </row>
    <row r="135" spans="1:13" hidden="1" x14ac:dyDescent="0.25">
      <c r="A135">
        <v>21</v>
      </c>
      <c r="B135" s="1">
        <v>43866</v>
      </c>
      <c r="C135" t="str">
        <f t="shared" si="8"/>
        <v>febrero</v>
      </c>
      <c r="D135" t="s">
        <v>13</v>
      </c>
      <c r="E135" t="s">
        <v>55</v>
      </c>
      <c r="G135" t="s">
        <v>114</v>
      </c>
      <c r="H135">
        <v>3</v>
      </c>
      <c r="I135">
        <v>271</v>
      </c>
      <c r="J135" s="9">
        <f t="shared" si="9"/>
        <v>813</v>
      </c>
      <c r="K135" s="9">
        <v>290</v>
      </c>
      <c r="L135" s="6">
        <f t="shared" si="10"/>
        <v>870</v>
      </c>
      <c r="M135" s="9">
        <f t="shared" si="11"/>
        <v>57</v>
      </c>
    </row>
    <row r="136" spans="1:13" hidden="1" x14ac:dyDescent="0.25">
      <c r="A136">
        <v>22</v>
      </c>
      <c r="B136" s="1">
        <v>43866</v>
      </c>
      <c r="C136" t="str">
        <f t="shared" si="8"/>
        <v>febrero</v>
      </c>
      <c r="D136" t="s">
        <v>13</v>
      </c>
      <c r="E136" t="s">
        <v>55</v>
      </c>
      <c r="G136" t="s">
        <v>200</v>
      </c>
      <c r="H136">
        <v>2</v>
      </c>
      <c r="I136">
        <v>271</v>
      </c>
      <c r="J136" s="9">
        <f t="shared" si="9"/>
        <v>542</v>
      </c>
      <c r="K136" s="9">
        <v>290</v>
      </c>
      <c r="L136" s="6">
        <f t="shared" si="10"/>
        <v>580</v>
      </c>
      <c r="M136" s="9">
        <f t="shared" si="11"/>
        <v>38</v>
      </c>
    </row>
    <row r="137" spans="1:13" hidden="1" x14ac:dyDescent="0.25">
      <c r="A137">
        <v>23</v>
      </c>
      <c r="B137" s="1">
        <v>43866</v>
      </c>
      <c r="C137" t="str">
        <f t="shared" si="8"/>
        <v>febrero</v>
      </c>
      <c r="D137" t="s">
        <v>13</v>
      </c>
      <c r="E137" t="s">
        <v>55</v>
      </c>
      <c r="G137" t="s">
        <v>112</v>
      </c>
      <c r="H137">
        <v>2</v>
      </c>
      <c r="I137">
        <v>271</v>
      </c>
      <c r="J137" s="9">
        <f t="shared" si="9"/>
        <v>542</v>
      </c>
      <c r="K137" s="9">
        <v>290</v>
      </c>
      <c r="L137" s="6">
        <f t="shared" si="10"/>
        <v>580</v>
      </c>
      <c r="M137" s="9">
        <f t="shared" si="11"/>
        <v>38</v>
      </c>
    </row>
    <row r="138" spans="1:13" hidden="1" x14ac:dyDescent="0.25">
      <c r="A138">
        <v>24</v>
      </c>
      <c r="B138" s="1">
        <v>43866</v>
      </c>
      <c r="C138" t="str">
        <f t="shared" si="8"/>
        <v>febrero</v>
      </c>
      <c r="D138" t="s">
        <v>13</v>
      </c>
      <c r="E138" t="s">
        <v>55</v>
      </c>
      <c r="G138" t="s">
        <v>103</v>
      </c>
      <c r="H138">
        <v>2</v>
      </c>
      <c r="I138">
        <v>271</v>
      </c>
      <c r="J138" s="9">
        <f t="shared" si="9"/>
        <v>542</v>
      </c>
      <c r="K138" s="9">
        <v>290</v>
      </c>
      <c r="L138" s="6">
        <f t="shared" si="10"/>
        <v>580</v>
      </c>
      <c r="M138" s="9">
        <f t="shared" si="11"/>
        <v>38</v>
      </c>
    </row>
    <row r="139" spans="1:13" hidden="1" x14ac:dyDescent="0.25">
      <c r="A139">
        <v>25</v>
      </c>
      <c r="B139" s="1">
        <v>43866</v>
      </c>
      <c r="C139" t="str">
        <f t="shared" si="8"/>
        <v>febrero</v>
      </c>
      <c r="D139" t="s">
        <v>13</v>
      </c>
      <c r="E139" t="s">
        <v>55</v>
      </c>
      <c r="G139" t="s">
        <v>22</v>
      </c>
      <c r="H139">
        <v>1</v>
      </c>
      <c r="I139">
        <v>271</v>
      </c>
      <c r="J139" s="9">
        <f t="shared" si="9"/>
        <v>271</v>
      </c>
      <c r="K139" s="9">
        <v>290</v>
      </c>
      <c r="L139" s="6">
        <f t="shared" si="10"/>
        <v>290</v>
      </c>
      <c r="M139" s="9">
        <f t="shared" si="11"/>
        <v>19</v>
      </c>
    </row>
    <row r="140" spans="1:13" hidden="1" x14ac:dyDescent="0.25">
      <c r="A140">
        <v>26</v>
      </c>
      <c r="B140" s="1">
        <v>43866</v>
      </c>
      <c r="C140" t="str">
        <f t="shared" si="8"/>
        <v>febrero</v>
      </c>
      <c r="D140" t="s">
        <v>13</v>
      </c>
      <c r="E140" t="s">
        <v>55</v>
      </c>
      <c r="G140" t="s">
        <v>14</v>
      </c>
      <c r="H140">
        <v>5</v>
      </c>
      <c r="I140">
        <v>271</v>
      </c>
      <c r="J140" s="9">
        <f t="shared" si="9"/>
        <v>1355</v>
      </c>
      <c r="K140" s="9">
        <v>290</v>
      </c>
      <c r="L140" s="6">
        <f t="shared" si="10"/>
        <v>1450</v>
      </c>
      <c r="M140" s="9">
        <f t="shared" si="11"/>
        <v>95</v>
      </c>
    </row>
    <row r="141" spans="1:13" hidden="1" x14ac:dyDescent="0.25">
      <c r="A141">
        <v>27</v>
      </c>
      <c r="B141" s="1">
        <v>43866</v>
      </c>
      <c r="C141" t="str">
        <f t="shared" si="8"/>
        <v>febrero</v>
      </c>
      <c r="D141" t="s">
        <v>13</v>
      </c>
      <c r="E141" t="s">
        <v>55</v>
      </c>
      <c r="G141" t="s">
        <v>97</v>
      </c>
      <c r="H141">
        <v>16</v>
      </c>
      <c r="I141">
        <v>226</v>
      </c>
      <c r="J141" s="9">
        <f t="shared" si="9"/>
        <v>3616</v>
      </c>
      <c r="K141" s="9">
        <v>280</v>
      </c>
      <c r="L141" s="6">
        <f t="shared" si="10"/>
        <v>4480</v>
      </c>
      <c r="M141" s="9">
        <f t="shared" si="11"/>
        <v>864</v>
      </c>
    </row>
    <row r="142" spans="1:13" hidden="1" x14ac:dyDescent="0.25">
      <c r="A142">
        <v>28</v>
      </c>
      <c r="B142" s="1">
        <v>43869</v>
      </c>
      <c r="C142" t="str">
        <f t="shared" si="8"/>
        <v>febrero</v>
      </c>
      <c r="D142" t="s">
        <v>13</v>
      </c>
      <c r="E142" t="s">
        <v>55</v>
      </c>
      <c r="G142" t="s">
        <v>111</v>
      </c>
      <c r="H142">
        <v>2</v>
      </c>
      <c r="I142">
        <v>271</v>
      </c>
      <c r="J142" s="9">
        <f t="shared" si="9"/>
        <v>542</v>
      </c>
      <c r="K142" s="9">
        <v>290</v>
      </c>
      <c r="L142" s="6">
        <f t="shared" si="10"/>
        <v>580</v>
      </c>
      <c r="M142" s="9">
        <f t="shared" si="11"/>
        <v>38</v>
      </c>
    </row>
    <row r="143" spans="1:13" hidden="1" x14ac:dyDescent="0.25">
      <c r="A143">
        <v>29</v>
      </c>
      <c r="B143" s="1">
        <v>43869</v>
      </c>
      <c r="C143" t="str">
        <f t="shared" si="8"/>
        <v>febrero</v>
      </c>
      <c r="D143" t="s">
        <v>13</v>
      </c>
      <c r="E143" t="s">
        <v>55</v>
      </c>
      <c r="G143" t="s">
        <v>22</v>
      </c>
      <c r="H143">
        <v>4.2300000000000004</v>
      </c>
      <c r="I143">
        <v>271</v>
      </c>
      <c r="J143" s="9">
        <f t="shared" si="9"/>
        <v>1146.3300000000002</v>
      </c>
      <c r="K143" s="9">
        <v>290</v>
      </c>
      <c r="L143" s="6">
        <f t="shared" si="10"/>
        <v>1226.7</v>
      </c>
      <c r="M143" s="9">
        <f t="shared" si="11"/>
        <v>80.369999999999891</v>
      </c>
    </row>
    <row r="144" spans="1:13" hidden="1" x14ac:dyDescent="0.25">
      <c r="A144">
        <v>30</v>
      </c>
      <c r="B144" s="1">
        <v>43869</v>
      </c>
      <c r="C144" t="str">
        <f t="shared" si="8"/>
        <v>febrero</v>
      </c>
      <c r="D144" t="s">
        <v>13</v>
      </c>
      <c r="E144" t="s">
        <v>55</v>
      </c>
      <c r="G144" t="s">
        <v>97</v>
      </c>
      <c r="H144">
        <v>4</v>
      </c>
      <c r="I144">
        <v>226</v>
      </c>
      <c r="J144" s="9">
        <f t="shared" si="9"/>
        <v>904</v>
      </c>
      <c r="K144" s="9">
        <v>280</v>
      </c>
      <c r="L144" s="6">
        <f t="shared" si="10"/>
        <v>1120</v>
      </c>
      <c r="M144" s="9">
        <f t="shared" si="11"/>
        <v>216</v>
      </c>
    </row>
    <row r="145" spans="1:13" hidden="1" x14ac:dyDescent="0.25">
      <c r="A145">
        <v>31</v>
      </c>
      <c r="B145" s="1">
        <v>43869</v>
      </c>
      <c r="C145" t="str">
        <f t="shared" si="8"/>
        <v>febrero</v>
      </c>
      <c r="D145" t="s">
        <v>163</v>
      </c>
      <c r="E145" t="s">
        <v>75</v>
      </c>
      <c r="G145" t="s">
        <v>230</v>
      </c>
      <c r="H145">
        <v>20</v>
      </c>
      <c r="I145">
        <f>41.94*1.15</f>
        <v>48.230999999999995</v>
      </c>
      <c r="J145" s="9">
        <f t="shared" si="9"/>
        <v>964.61999999999989</v>
      </c>
      <c r="K145" s="9">
        <v>60</v>
      </c>
      <c r="L145" s="6">
        <f t="shared" si="10"/>
        <v>1200</v>
      </c>
      <c r="M145" s="9">
        <f t="shared" si="11"/>
        <v>235.38000000000011</v>
      </c>
    </row>
    <row r="146" spans="1:13" hidden="1" x14ac:dyDescent="0.25">
      <c r="A146">
        <v>32</v>
      </c>
      <c r="B146" s="1">
        <v>43869</v>
      </c>
      <c r="C146" t="str">
        <f t="shared" si="8"/>
        <v>febrero</v>
      </c>
      <c r="D146" t="s">
        <v>163</v>
      </c>
      <c r="E146" t="s">
        <v>75</v>
      </c>
      <c r="G146" t="s">
        <v>175</v>
      </c>
      <c r="H146">
        <v>60</v>
      </c>
      <c r="I146">
        <f>20.46*1.15</f>
        <v>23.529</v>
      </c>
      <c r="J146" s="9">
        <f t="shared" si="9"/>
        <v>1411.74</v>
      </c>
      <c r="K146" s="9">
        <v>45</v>
      </c>
      <c r="L146" s="6">
        <f t="shared" si="10"/>
        <v>2700</v>
      </c>
      <c r="M146" s="9">
        <f t="shared" si="11"/>
        <v>1288.26</v>
      </c>
    </row>
    <row r="147" spans="1:13" hidden="1" x14ac:dyDescent="0.25">
      <c r="A147">
        <v>33</v>
      </c>
      <c r="B147" s="1">
        <v>43869</v>
      </c>
      <c r="C147" t="str">
        <f t="shared" si="8"/>
        <v>febrero</v>
      </c>
      <c r="D147" t="s">
        <v>163</v>
      </c>
      <c r="E147" t="s">
        <v>75</v>
      </c>
      <c r="G147" t="s">
        <v>231</v>
      </c>
      <c r="H147">
        <v>30</v>
      </c>
      <c r="I147">
        <f>19.78*1.15</f>
        <v>22.747</v>
      </c>
      <c r="J147" s="9">
        <f t="shared" si="9"/>
        <v>682.41</v>
      </c>
      <c r="K147" s="9">
        <v>45</v>
      </c>
      <c r="L147" s="6">
        <f t="shared" si="10"/>
        <v>1350</v>
      </c>
      <c r="M147" s="9">
        <f t="shared" si="11"/>
        <v>667.59</v>
      </c>
    </row>
    <row r="148" spans="1:13" hidden="1" x14ac:dyDescent="0.25">
      <c r="A148">
        <v>34</v>
      </c>
      <c r="B148" s="1">
        <v>43869</v>
      </c>
      <c r="C148" t="str">
        <f t="shared" si="8"/>
        <v>febrero</v>
      </c>
      <c r="D148" t="s">
        <v>163</v>
      </c>
      <c r="E148" t="s">
        <v>75</v>
      </c>
      <c r="G148" t="s">
        <v>232</v>
      </c>
      <c r="H148">
        <v>30</v>
      </c>
      <c r="I148">
        <f>22.51*1.15</f>
        <v>25.886499999999998</v>
      </c>
      <c r="J148" s="9">
        <f t="shared" si="9"/>
        <v>776.59499999999991</v>
      </c>
      <c r="K148" s="9">
        <v>45</v>
      </c>
      <c r="L148" s="6">
        <f t="shared" si="10"/>
        <v>1350</v>
      </c>
      <c r="M148" s="9">
        <f t="shared" si="11"/>
        <v>573.40500000000009</v>
      </c>
    </row>
    <row r="149" spans="1:13" x14ac:dyDescent="0.25">
      <c r="A149">
        <v>35</v>
      </c>
      <c r="B149" s="1">
        <v>43869</v>
      </c>
      <c r="C149" t="str">
        <f t="shared" si="8"/>
        <v>febrero</v>
      </c>
      <c r="D149" t="s">
        <v>163</v>
      </c>
      <c r="E149" t="s">
        <v>15</v>
      </c>
      <c r="G149" t="s">
        <v>54</v>
      </c>
      <c r="H149">
        <v>100</v>
      </c>
      <c r="I149">
        <f>184.48*1.15</f>
        <v>212.15199999999996</v>
      </c>
      <c r="J149" s="9">
        <f t="shared" si="9"/>
        <v>21215.199999999997</v>
      </c>
      <c r="K149" s="9">
        <v>240</v>
      </c>
      <c r="L149" s="6">
        <f t="shared" si="10"/>
        <v>24000</v>
      </c>
      <c r="M149" s="9">
        <f t="shared" si="11"/>
        <v>2784.8000000000029</v>
      </c>
    </row>
    <row r="150" spans="1:13" x14ac:dyDescent="0.25">
      <c r="A150">
        <v>36</v>
      </c>
      <c r="B150" s="1">
        <v>43869</v>
      </c>
      <c r="C150" t="str">
        <f t="shared" si="8"/>
        <v>febrero</v>
      </c>
      <c r="D150" t="s">
        <v>163</v>
      </c>
      <c r="E150" t="s">
        <v>15</v>
      </c>
      <c r="G150" t="s">
        <v>233</v>
      </c>
      <c r="H150">
        <v>30</v>
      </c>
      <c r="I150">
        <f>231.95*1.15</f>
        <v>266.74249999999995</v>
      </c>
      <c r="J150" s="9">
        <f t="shared" si="9"/>
        <v>8002.2749999999987</v>
      </c>
      <c r="K150" s="9">
        <v>290</v>
      </c>
      <c r="L150" s="6">
        <f t="shared" si="10"/>
        <v>8700</v>
      </c>
      <c r="M150" s="9">
        <f t="shared" si="11"/>
        <v>697.72500000000127</v>
      </c>
    </row>
    <row r="151" spans="1:13" x14ac:dyDescent="0.25">
      <c r="A151">
        <v>37</v>
      </c>
      <c r="B151" s="1">
        <v>43869</v>
      </c>
      <c r="C151" t="str">
        <f t="shared" si="8"/>
        <v>febrero</v>
      </c>
      <c r="D151" t="s">
        <v>163</v>
      </c>
      <c r="E151" t="s">
        <v>15</v>
      </c>
      <c r="G151" t="s">
        <v>32</v>
      </c>
      <c r="H151">
        <v>10</v>
      </c>
      <c r="I151">
        <f>186.19*1.15</f>
        <v>214.11849999999998</v>
      </c>
      <c r="J151" s="9">
        <f t="shared" si="9"/>
        <v>2141.1849999999999</v>
      </c>
      <c r="K151" s="9">
        <v>280</v>
      </c>
      <c r="L151" s="6">
        <f t="shared" si="10"/>
        <v>2800</v>
      </c>
      <c r="M151" s="9">
        <f t="shared" si="11"/>
        <v>658.81500000000005</v>
      </c>
    </row>
    <row r="152" spans="1:13" x14ac:dyDescent="0.25">
      <c r="A152">
        <v>38</v>
      </c>
      <c r="B152" s="1">
        <v>43869</v>
      </c>
      <c r="C152" t="str">
        <f t="shared" si="8"/>
        <v>febrero</v>
      </c>
      <c r="D152" t="s">
        <v>163</v>
      </c>
      <c r="E152" t="s">
        <v>15</v>
      </c>
      <c r="G152" t="s">
        <v>35</v>
      </c>
      <c r="H152">
        <v>50</v>
      </c>
      <c r="I152">
        <f>170.16*1.15</f>
        <v>195.68399999999997</v>
      </c>
      <c r="J152" s="9">
        <f t="shared" si="9"/>
        <v>9784.1999999999989</v>
      </c>
      <c r="K152" s="9">
        <v>230</v>
      </c>
      <c r="L152" s="6">
        <f t="shared" si="10"/>
        <v>11500</v>
      </c>
      <c r="M152" s="9">
        <f t="shared" si="11"/>
        <v>1715.8000000000011</v>
      </c>
    </row>
    <row r="153" spans="1:13" x14ac:dyDescent="0.25">
      <c r="A153">
        <v>39</v>
      </c>
      <c r="B153" s="1">
        <v>43869</v>
      </c>
      <c r="C153" t="str">
        <f t="shared" si="8"/>
        <v>febrero</v>
      </c>
      <c r="D153" t="s">
        <v>163</v>
      </c>
      <c r="E153" t="s">
        <v>15</v>
      </c>
      <c r="G153" t="s">
        <v>234</v>
      </c>
      <c r="H153">
        <v>10</v>
      </c>
      <c r="I153">
        <f>187.21*1.15</f>
        <v>215.29149999999998</v>
      </c>
      <c r="J153" s="9">
        <f t="shared" si="9"/>
        <v>2152.915</v>
      </c>
      <c r="K153" s="9">
        <v>240</v>
      </c>
      <c r="L153" s="6">
        <f t="shared" si="10"/>
        <v>2400</v>
      </c>
      <c r="M153" s="9">
        <f t="shared" si="11"/>
        <v>247.08500000000004</v>
      </c>
    </row>
    <row r="154" spans="1:13" x14ac:dyDescent="0.25">
      <c r="A154">
        <v>40</v>
      </c>
      <c r="B154" s="1">
        <v>43869</v>
      </c>
      <c r="C154" t="str">
        <f t="shared" si="8"/>
        <v>febrero</v>
      </c>
      <c r="D154" t="s">
        <v>163</v>
      </c>
      <c r="E154" t="s">
        <v>15</v>
      </c>
      <c r="G154" t="s">
        <v>80</v>
      </c>
      <c r="H154">
        <v>50</v>
      </c>
      <c r="I154">
        <f>184.14*1.15</f>
        <v>211.76099999999997</v>
      </c>
      <c r="J154" s="9">
        <f t="shared" si="9"/>
        <v>10588.05</v>
      </c>
      <c r="K154" s="9">
        <v>240</v>
      </c>
      <c r="L154" s="6">
        <f t="shared" si="10"/>
        <v>12000</v>
      </c>
      <c r="M154" s="9">
        <f t="shared" si="11"/>
        <v>1411.9500000000007</v>
      </c>
    </row>
    <row r="155" spans="1:13" x14ac:dyDescent="0.25">
      <c r="A155">
        <v>41</v>
      </c>
      <c r="B155" s="1">
        <v>43869</v>
      </c>
      <c r="C155" t="str">
        <f t="shared" si="8"/>
        <v>febrero</v>
      </c>
      <c r="D155" t="s">
        <v>163</v>
      </c>
      <c r="E155" t="s">
        <v>15</v>
      </c>
      <c r="G155" t="s">
        <v>219</v>
      </c>
      <c r="H155">
        <v>10</v>
      </c>
      <c r="I155">
        <f>170.16*1.15</f>
        <v>195.68399999999997</v>
      </c>
      <c r="J155" s="9">
        <f t="shared" si="9"/>
        <v>1956.8399999999997</v>
      </c>
      <c r="K155" s="9">
        <v>230</v>
      </c>
      <c r="L155" s="6">
        <f t="shared" si="10"/>
        <v>2300</v>
      </c>
      <c r="M155" s="9">
        <f t="shared" si="11"/>
        <v>343.16000000000031</v>
      </c>
    </row>
    <row r="156" spans="1:13" hidden="1" x14ac:dyDescent="0.25">
      <c r="A156">
        <v>42</v>
      </c>
      <c r="B156" s="1">
        <v>43869</v>
      </c>
      <c r="C156" t="str">
        <f t="shared" si="8"/>
        <v>febrero</v>
      </c>
      <c r="D156" t="s">
        <v>163</v>
      </c>
      <c r="E156" t="s">
        <v>55</v>
      </c>
      <c r="G156" t="s">
        <v>61</v>
      </c>
      <c r="H156">
        <v>10</v>
      </c>
      <c r="I156">
        <f>153.11*1.15</f>
        <v>176.07650000000001</v>
      </c>
      <c r="J156" s="9">
        <f t="shared" si="9"/>
        <v>1760.7650000000001</v>
      </c>
      <c r="K156" s="9">
        <v>230</v>
      </c>
      <c r="L156" s="6">
        <f t="shared" si="10"/>
        <v>2300</v>
      </c>
      <c r="M156" s="9">
        <f t="shared" si="11"/>
        <v>539.2349999999999</v>
      </c>
    </row>
    <row r="157" spans="1:13" hidden="1" x14ac:dyDescent="0.25">
      <c r="A157">
        <v>43</v>
      </c>
      <c r="B157" s="1">
        <v>43869</v>
      </c>
      <c r="C157" t="str">
        <f t="shared" si="8"/>
        <v>febrero</v>
      </c>
      <c r="D157" t="s">
        <v>163</v>
      </c>
      <c r="E157" t="s">
        <v>25</v>
      </c>
      <c r="G157" t="s">
        <v>173</v>
      </c>
      <c r="H157">
        <v>5</v>
      </c>
      <c r="I157">
        <f>59.68*1.15</f>
        <v>68.631999999999991</v>
      </c>
      <c r="J157" s="9">
        <f t="shared" si="9"/>
        <v>343.15999999999997</v>
      </c>
      <c r="K157" s="9">
        <v>100</v>
      </c>
      <c r="L157" s="6">
        <f t="shared" si="10"/>
        <v>500</v>
      </c>
      <c r="M157" s="9">
        <f t="shared" si="11"/>
        <v>156.84000000000003</v>
      </c>
    </row>
    <row r="158" spans="1:13" hidden="1" x14ac:dyDescent="0.25">
      <c r="A158">
        <v>44</v>
      </c>
      <c r="B158" s="1">
        <v>43869</v>
      </c>
      <c r="C158" t="str">
        <f t="shared" si="8"/>
        <v>febrero</v>
      </c>
      <c r="D158" t="s">
        <v>163</v>
      </c>
      <c r="E158" t="s">
        <v>25</v>
      </c>
      <c r="G158" t="s">
        <v>172</v>
      </c>
      <c r="H158">
        <v>5</v>
      </c>
      <c r="I158">
        <f>59.68*1.15</f>
        <v>68.631999999999991</v>
      </c>
      <c r="J158" s="9">
        <f t="shared" si="9"/>
        <v>343.15999999999997</v>
      </c>
      <c r="K158" s="9">
        <v>100</v>
      </c>
      <c r="L158" s="6">
        <f t="shared" si="10"/>
        <v>500</v>
      </c>
      <c r="M158" s="9">
        <f t="shared" si="11"/>
        <v>156.84000000000003</v>
      </c>
    </row>
    <row r="159" spans="1:13" hidden="1" x14ac:dyDescent="0.25">
      <c r="A159">
        <v>45</v>
      </c>
      <c r="B159" s="1">
        <v>43869</v>
      </c>
      <c r="C159" t="str">
        <f t="shared" si="8"/>
        <v>febrero</v>
      </c>
      <c r="D159" t="s">
        <v>163</v>
      </c>
      <c r="E159" t="s">
        <v>56</v>
      </c>
      <c r="G159" t="s">
        <v>171</v>
      </c>
      <c r="H159">
        <v>40</v>
      </c>
      <c r="I159">
        <f>113.21*1.15</f>
        <v>130.19149999999999</v>
      </c>
      <c r="J159" s="9">
        <f t="shared" si="9"/>
        <v>5207.66</v>
      </c>
      <c r="K159" s="9">
        <v>170</v>
      </c>
      <c r="L159" s="6">
        <f t="shared" si="10"/>
        <v>6800</v>
      </c>
      <c r="M159" s="9">
        <f t="shared" si="11"/>
        <v>1592.3400000000001</v>
      </c>
    </row>
    <row r="160" spans="1:13" x14ac:dyDescent="0.25">
      <c r="A160">
        <v>46</v>
      </c>
      <c r="B160" s="1">
        <v>43869</v>
      </c>
      <c r="C160" t="str">
        <f t="shared" si="8"/>
        <v>febrero</v>
      </c>
      <c r="D160" t="s">
        <v>163</v>
      </c>
      <c r="E160" t="s">
        <v>15</v>
      </c>
      <c r="G160" t="s">
        <v>31</v>
      </c>
      <c r="H160">
        <v>10</v>
      </c>
      <c r="I160">
        <f>186.19*1.15</f>
        <v>214.11849999999998</v>
      </c>
      <c r="J160" s="9">
        <f t="shared" si="9"/>
        <v>2141.1849999999999</v>
      </c>
      <c r="K160" s="9">
        <v>280</v>
      </c>
      <c r="L160" s="6">
        <f t="shared" si="10"/>
        <v>2800</v>
      </c>
      <c r="M160" s="9">
        <f t="shared" si="11"/>
        <v>658.81500000000005</v>
      </c>
    </row>
    <row r="161" spans="1:13" x14ac:dyDescent="0.25">
      <c r="A161">
        <v>47</v>
      </c>
      <c r="B161" s="1">
        <v>43869</v>
      </c>
      <c r="C161" t="str">
        <f t="shared" si="8"/>
        <v>febrero</v>
      </c>
      <c r="D161" t="s">
        <v>163</v>
      </c>
      <c r="E161" t="s">
        <v>15</v>
      </c>
      <c r="G161" t="s">
        <v>168</v>
      </c>
      <c r="H161">
        <v>20</v>
      </c>
      <c r="I161">
        <f>236.29*1.15</f>
        <v>271.73349999999999</v>
      </c>
      <c r="J161" s="9">
        <f t="shared" si="9"/>
        <v>5434.67</v>
      </c>
      <c r="K161" s="9">
        <v>360</v>
      </c>
      <c r="L161" s="6">
        <f t="shared" si="10"/>
        <v>7200</v>
      </c>
      <c r="M161" s="9">
        <f t="shared" si="11"/>
        <v>1765.33</v>
      </c>
    </row>
    <row r="162" spans="1:13" hidden="1" x14ac:dyDescent="0.25">
      <c r="A162">
        <v>48</v>
      </c>
      <c r="B162" s="1">
        <v>43871</v>
      </c>
      <c r="C162" t="str">
        <f t="shared" si="8"/>
        <v>febrero</v>
      </c>
      <c r="D162" t="s">
        <v>13</v>
      </c>
      <c r="E162" t="s">
        <v>15</v>
      </c>
      <c r="G162" t="s">
        <v>17</v>
      </c>
      <c r="H162">
        <v>9.76</v>
      </c>
      <c r="I162">
        <v>326</v>
      </c>
      <c r="J162" s="9">
        <f t="shared" si="9"/>
        <v>3181.7599999999998</v>
      </c>
      <c r="K162" s="9">
        <v>360</v>
      </c>
      <c r="L162" s="6">
        <f t="shared" si="10"/>
        <v>3513.6</v>
      </c>
      <c r="M162" s="9">
        <f t="shared" si="11"/>
        <v>331.84000000000015</v>
      </c>
    </row>
    <row r="163" spans="1:13" hidden="1" x14ac:dyDescent="0.25">
      <c r="A163">
        <v>49</v>
      </c>
      <c r="B163" s="1">
        <v>43871</v>
      </c>
      <c r="C163" t="str">
        <f t="shared" si="8"/>
        <v>febrero</v>
      </c>
      <c r="D163" t="s">
        <v>13</v>
      </c>
      <c r="E163" t="s">
        <v>55</v>
      </c>
      <c r="G163" t="s">
        <v>22</v>
      </c>
      <c r="H163">
        <v>2.82</v>
      </c>
      <c r="I163">
        <v>271</v>
      </c>
      <c r="J163" s="9">
        <f t="shared" si="9"/>
        <v>764.21999999999991</v>
      </c>
      <c r="K163" s="9">
        <v>290</v>
      </c>
      <c r="L163" s="6">
        <f t="shared" si="10"/>
        <v>817.8</v>
      </c>
      <c r="M163" s="9">
        <f t="shared" si="11"/>
        <v>53.580000000000041</v>
      </c>
    </row>
    <row r="164" spans="1:13" hidden="1" x14ac:dyDescent="0.25">
      <c r="A164">
        <v>50</v>
      </c>
      <c r="B164" s="1">
        <v>43871</v>
      </c>
      <c r="C164" t="str">
        <f t="shared" si="8"/>
        <v>febrero</v>
      </c>
      <c r="D164" t="s">
        <v>13</v>
      </c>
      <c r="E164" t="s">
        <v>55</v>
      </c>
      <c r="G164" t="s">
        <v>111</v>
      </c>
      <c r="H164">
        <v>1</v>
      </c>
      <c r="I164">
        <v>271</v>
      </c>
      <c r="J164" s="9">
        <f t="shared" si="9"/>
        <v>271</v>
      </c>
      <c r="K164" s="9">
        <v>290</v>
      </c>
      <c r="L164" s="6">
        <f t="shared" si="10"/>
        <v>290</v>
      </c>
      <c r="M164" s="9">
        <f t="shared" si="11"/>
        <v>19</v>
      </c>
    </row>
    <row r="165" spans="1:13" hidden="1" x14ac:dyDescent="0.25">
      <c r="B165" s="1">
        <v>43873</v>
      </c>
      <c r="C165" t="str">
        <f t="shared" si="8"/>
        <v>febrero</v>
      </c>
      <c r="D165" t="s">
        <v>167</v>
      </c>
      <c r="E165" t="s">
        <v>70</v>
      </c>
      <c r="G165" t="s">
        <v>227</v>
      </c>
      <c r="H165">
        <v>10</v>
      </c>
      <c r="I165">
        <v>1440</v>
      </c>
      <c r="J165" s="9">
        <f t="shared" si="9"/>
        <v>14400</v>
      </c>
      <c r="K165" s="9">
        <v>1650</v>
      </c>
      <c r="L165" s="6">
        <f t="shared" si="10"/>
        <v>16500</v>
      </c>
      <c r="M165" s="9">
        <f t="shared" si="11"/>
        <v>2100</v>
      </c>
    </row>
    <row r="166" spans="1:13" hidden="1" x14ac:dyDescent="0.25">
      <c r="B166" s="1">
        <v>43873</v>
      </c>
      <c r="C166" t="str">
        <f t="shared" si="8"/>
        <v>febrero</v>
      </c>
      <c r="D166" t="s">
        <v>167</v>
      </c>
      <c r="E166" t="s">
        <v>85</v>
      </c>
      <c r="G166" t="s">
        <v>216</v>
      </c>
      <c r="H166">
        <v>10</v>
      </c>
      <c r="I166">
        <v>440</v>
      </c>
      <c r="J166" s="9">
        <f t="shared" si="9"/>
        <v>4400</v>
      </c>
      <c r="K166" s="9">
        <v>900</v>
      </c>
      <c r="L166" s="6">
        <f t="shared" si="10"/>
        <v>9000</v>
      </c>
      <c r="M166" s="9">
        <f t="shared" si="11"/>
        <v>4600</v>
      </c>
    </row>
    <row r="167" spans="1:13" hidden="1" x14ac:dyDescent="0.25">
      <c r="B167" s="1">
        <v>43873</v>
      </c>
      <c r="C167" t="str">
        <f t="shared" si="8"/>
        <v>febrero</v>
      </c>
      <c r="D167" t="s">
        <v>167</v>
      </c>
      <c r="E167" t="s">
        <v>70</v>
      </c>
      <c r="G167" t="s">
        <v>253</v>
      </c>
      <c r="H167">
        <v>10</v>
      </c>
      <c r="I167">
        <v>395</v>
      </c>
      <c r="J167" s="9">
        <f t="shared" si="9"/>
        <v>3950</v>
      </c>
      <c r="K167" s="9">
        <v>900</v>
      </c>
      <c r="L167" s="6">
        <f t="shared" si="10"/>
        <v>9000</v>
      </c>
      <c r="M167" s="9">
        <f t="shared" si="11"/>
        <v>5050</v>
      </c>
    </row>
    <row r="168" spans="1:13" hidden="1" x14ac:dyDescent="0.25">
      <c r="B168" s="1">
        <v>43873</v>
      </c>
      <c r="C168" t="str">
        <f t="shared" si="8"/>
        <v>febrero</v>
      </c>
      <c r="D168" t="s">
        <v>167</v>
      </c>
      <c r="E168" t="s">
        <v>70</v>
      </c>
      <c r="G168" t="s">
        <v>279</v>
      </c>
      <c r="H168">
        <v>1</v>
      </c>
      <c r="I168">
        <v>2380</v>
      </c>
      <c r="J168" s="9">
        <f t="shared" si="9"/>
        <v>2380</v>
      </c>
      <c r="K168">
        <f>1900+1100</f>
        <v>3000</v>
      </c>
      <c r="L168" s="6">
        <f t="shared" si="10"/>
        <v>3000</v>
      </c>
      <c r="M168" s="9">
        <f t="shared" si="11"/>
        <v>620</v>
      </c>
    </row>
    <row r="169" spans="1:13" hidden="1" x14ac:dyDescent="0.25">
      <c r="B169" s="1">
        <v>43873</v>
      </c>
      <c r="C169" t="str">
        <f t="shared" si="8"/>
        <v>febrero</v>
      </c>
      <c r="D169" t="s">
        <v>167</v>
      </c>
      <c r="E169" t="s">
        <v>85</v>
      </c>
      <c r="G169" t="s">
        <v>280</v>
      </c>
      <c r="H169">
        <v>1</v>
      </c>
      <c r="I169">
        <v>765</v>
      </c>
      <c r="J169" s="9">
        <f t="shared" si="9"/>
        <v>765</v>
      </c>
      <c r="K169" s="9">
        <v>1100</v>
      </c>
      <c r="L169" s="6">
        <f t="shared" si="10"/>
        <v>1100</v>
      </c>
      <c r="M169" s="9">
        <f t="shared" si="11"/>
        <v>335</v>
      </c>
    </row>
    <row r="170" spans="1:13" hidden="1" x14ac:dyDescent="0.25">
      <c r="B170" s="1">
        <v>43873</v>
      </c>
      <c r="C170" t="str">
        <f t="shared" si="8"/>
        <v>febrero</v>
      </c>
      <c r="D170" t="s">
        <v>167</v>
      </c>
      <c r="E170" t="s">
        <v>78</v>
      </c>
      <c r="G170" t="s">
        <v>281</v>
      </c>
      <c r="H170">
        <v>2</v>
      </c>
      <c r="I170">
        <v>1305</v>
      </c>
      <c r="J170" s="9">
        <f t="shared" si="9"/>
        <v>2610</v>
      </c>
      <c r="K170" s="9">
        <v>1550</v>
      </c>
      <c r="L170" s="6">
        <f t="shared" si="10"/>
        <v>3100</v>
      </c>
      <c r="M170" s="9">
        <f t="shared" si="11"/>
        <v>490</v>
      </c>
    </row>
    <row r="171" spans="1:13" hidden="1" x14ac:dyDescent="0.25">
      <c r="B171" s="1">
        <v>43873</v>
      </c>
      <c r="C171" t="str">
        <f t="shared" si="8"/>
        <v>febrero</v>
      </c>
      <c r="D171" t="s">
        <v>167</v>
      </c>
      <c r="E171" t="s">
        <v>78</v>
      </c>
      <c r="G171" t="s">
        <v>79</v>
      </c>
      <c r="H171">
        <v>2</v>
      </c>
      <c r="I171">
        <v>1330</v>
      </c>
      <c r="J171" s="9">
        <f t="shared" si="9"/>
        <v>2660</v>
      </c>
      <c r="K171" s="9">
        <v>1550</v>
      </c>
      <c r="L171" s="6">
        <f t="shared" si="10"/>
        <v>3100</v>
      </c>
      <c r="M171" s="9">
        <f t="shared" si="11"/>
        <v>440</v>
      </c>
    </row>
    <row r="172" spans="1:13" hidden="1" x14ac:dyDescent="0.25">
      <c r="B172" s="1">
        <v>43873</v>
      </c>
      <c r="C172" t="str">
        <f t="shared" si="8"/>
        <v>febrero</v>
      </c>
      <c r="D172" t="s">
        <v>167</v>
      </c>
      <c r="E172" t="s">
        <v>70</v>
      </c>
      <c r="G172" t="s">
        <v>282</v>
      </c>
      <c r="H172">
        <v>3</v>
      </c>
      <c r="I172">
        <v>291</v>
      </c>
      <c r="J172" s="9">
        <f t="shared" si="9"/>
        <v>873</v>
      </c>
      <c r="K172">
        <v>400</v>
      </c>
      <c r="L172" s="6">
        <f t="shared" si="10"/>
        <v>1200</v>
      </c>
      <c r="M172" s="9">
        <f t="shared" si="11"/>
        <v>327</v>
      </c>
    </row>
    <row r="173" spans="1:13" hidden="1" x14ac:dyDescent="0.25">
      <c r="A173">
        <v>51</v>
      </c>
      <c r="B173" s="1">
        <v>43874</v>
      </c>
      <c r="C173" t="str">
        <f t="shared" si="8"/>
        <v>febrero</v>
      </c>
      <c r="D173" t="s">
        <v>13</v>
      </c>
      <c r="E173" t="s">
        <v>55</v>
      </c>
      <c r="G173" t="s">
        <v>97</v>
      </c>
      <c r="H173">
        <v>4</v>
      </c>
      <c r="I173">
        <v>226</v>
      </c>
      <c r="J173" s="9">
        <f t="shared" si="9"/>
        <v>904</v>
      </c>
      <c r="K173" s="9">
        <v>280</v>
      </c>
      <c r="L173" s="6">
        <f t="shared" si="10"/>
        <v>1120</v>
      </c>
      <c r="M173" s="9">
        <f t="shared" si="11"/>
        <v>216</v>
      </c>
    </row>
    <row r="174" spans="1:13" hidden="1" x14ac:dyDescent="0.25">
      <c r="A174">
        <v>52</v>
      </c>
      <c r="B174" s="1">
        <v>43874</v>
      </c>
      <c r="C174" t="str">
        <f t="shared" si="8"/>
        <v>febrero</v>
      </c>
      <c r="D174" t="s">
        <v>13</v>
      </c>
      <c r="E174" t="s">
        <v>55</v>
      </c>
      <c r="G174" t="s">
        <v>115</v>
      </c>
      <c r="H174">
        <v>2</v>
      </c>
      <c r="I174">
        <v>226</v>
      </c>
      <c r="J174" s="9">
        <f t="shared" si="9"/>
        <v>452</v>
      </c>
      <c r="K174" s="9">
        <v>280</v>
      </c>
      <c r="L174" s="6">
        <f t="shared" si="10"/>
        <v>560</v>
      </c>
      <c r="M174" s="9">
        <f t="shared" si="11"/>
        <v>108</v>
      </c>
    </row>
    <row r="175" spans="1:13" hidden="1" x14ac:dyDescent="0.25">
      <c r="A175">
        <v>53</v>
      </c>
      <c r="B175" s="1">
        <v>43874</v>
      </c>
      <c r="C175" t="str">
        <f t="shared" si="8"/>
        <v>febrero</v>
      </c>
      <c r="D175" t="s">
        <v>13</v>
      </c>
      <c r="E175" t="s">
        <v>55</v>
      </c>
      <c r="G175" t="s">
        <v>22</v>
      </c>
      <c r="H175">
        <v>4.2300000000000004</v>
      </c>
      <c r="I175">
        <v>271</v>
      </c>
      <c r="J175" s="9">
        <f t="shared" si="9"/>
        <v>1146.3300000000002</v>
      </c>
      <c r="K175" s="9">
        <v>290</v>
      </c>
      <c r="L175" s="6">
        <f t="shared" si="10"/>
        <v>1226.7</v>
      </c>
      <c r="M175" s="9">
        <f t="shared" si="11"/>
        <v>80.369999999999891</v>
      </c>
    </row>
    <row r="176" spans="1:13" hidden="1" x14ac:dyDescent="0.25">
      <c r="A176">
        <v>54</v>
      </c>
      <c r="B176" s="1">
        <v>43874</v>
      </c>
      <c r="C176" t="str">
        <f t="shared" si="8"/>
        <v>febrero</v>
      </c>
      <c r="D176" t="s">
        <v>13</v>
      </c>
      <c r="E176" t="s">
        <v>55</v>
      </c>
      <c r="G176" t="s">
        <v>39</v>
      </c>
      <c r="H176">
        <v>1</v>
      </c>
      <c r="I176">
        <v>271</v>
      </c>
      <c r="J176" s="9">
        <f t="shared" si="9"/>
        <v>271</v>
      </c>
      <c r="K176" s="9">
        <v>290</v>
      </c>
      <c r="L176" s="6">
        <f t="shared" si="10"/>
        <v>290</v>
      </c>
      <c r="M176" s="9">
        <f t="shared" si="11"/>
        <v>19</v>
      </c>
    </row>
    <row r="177" spans="1:13" x14ac:dyDescent="0.25">
      <c r="A177">
        <v>55</v>
      </c>
      <c r="B177" s="1">
        <v>43876</v>
      </c>
      <c r="C177" t="str">
        <f t="shared" si="8"/>
        <v>febrero</v>
      </c>
      <c r="D177" t="s">
        <v>163</v>
      </c>
      <c r="E177" t="s">
        <v>15</v>
      </c>
      <c r="G177" t="s">
        <v>54</v>
      </c>
      <c r="H177">
        <v>100</v>
      </c>
      <c r="I177">
        <f>184.48*1.15</f>
        <v>212.15199999999996</v>
      </c>
      <c r="J177" s="9">
        <f t="shared" si="9"/>
        <v>21215.199999999997</v>
      </c>
      <c r="K177" s="9">
        <v>240</v>
      </c>
      <c r="L177" s="6">
        <f t="shared" si="10"/>
        <v>24000</v>
      </c>
      <c r="M177" s="9">
        <f t="shared" si="11"/>
        <v>2784.8000000000029</v>
      </c>
    </row>
    <row r="178" spans="1:13" x14ac:dyDescent="0.25">
      <c r="A178">
        <v>56</v>
      </c>
      <c r="B178" s="1">
        <v>43876</v>
      </c>
      <c r="C178" t="str">
        <f t="shared" si="8"/>
        <v>febrero</v>
      </c>
      <c r="D178" t="s">
        <v>163</v>
      </c>
      <c r="E178" t="s">
        <v>15</v>
      </c>
      <c r="G178" t="s">
        <v>20</v>
      </c>
      <c r="H178">
        <v>100</v>
      </c>
      <c r="I178">
        <f>187.55*1.15</f>
        <v>215.6825</v>
      </c>
      <c r="J178" s="9">
        <f t="shared" si="9"/>
        <v>21568.25</v>
      </c>
      <c r="K178" s="9">
        <v>240</v>
      </c>
      <c r="L178" s="6">
        <f t="shared" si="10"/>
        <v>24000</v>
      </c>
      <c r="M178" s="9">
        <f t="shared" si="11"/>
        <v>2431.75</v>
      </c>
    </row>
    <row r="179" spans="1:13" x14ac:dyDescent="0.25">
      <c r="A179">
        <v>57</v>
      </c>
      <c r="B179" s="1">
        <v>43876</v>
      </c>
      <c r="C179" t="str">
        <f t="shared" si="8"/>
        <v>febrero</v>
      </c>
      <c r="D179" t="s">
        <v>163</v>
      </c>
      <c r="E179" t="s">
        <v>15</v>
      </c>
      <c r="G179" t="s">
        <v>29</v>
      </c>
      <c r="H179">
        <v>100</v>
      </c>
      <c r="I179">
        <f>170.16*1.15</f>
        <v>195.68399999999997</v>
      </c>
      <c r="J179" s="9">
        <f t="shared" si="9"/>
        <v>19568.399999999998</v>
      </c>
      <c r="K179" s="9">
        <v>230</v>
      </c>
      <c r="L179" s="6">
        <f t="shared" si="10"/>
        <v>23000</v>
      </c>
      <c r="M179" s="9">
        <f t="shared" si="11"/>
        <v>3431.6000000000022</v>
      </c>
    </row>
    <row r="180" spans="1:13" hidden="1" x14ac:dyDescent="0.25">
      <c r="A180">
        <v>58</v>
      </c>
      <c r="B180" s="1">
        <v>43876</v>
      </c>
      <c r="C180" t="str">
        <f t="shared" si="8"/>
        <v>febrero</v>
      </c>
      <c r="D180" t="s">
        <v>163</v>
      </c>
      <c r="E180" t="s">
        <v>56</v>
      </c>
      <c r="G180" t="s">
        <v>171</v>
      </c>
      <c r="H180">
        <v>70</v>
      </c>
      <c r="I180">
        <f>101.89*1.15</f>
        <v>117.17349999999999</v>
      </c>
      <c r="J180" s="9">
        <f t="shared" si="9"/>
        <v>8202.1449999999986</v>
      </c>
      <c r="K180" s="9">
        <v>170</v>
      </c>
      <c r="L180" s="6">
        <f t="shared" si="10"/>
        <v>11900</v>
      </c>
      <c r="M180" s="9">
        <f t="shared" si="11"/>
        <v>3697.8550000000014</v>
      </c>
    </row>
    <row r="181" spans="1:13" hidden="1" x14ac:dyDescent="0.25">
      <c r="A181">
        <v>59</v>
      </c>
      <c r="B181" s="1">
        <v>43876</v>
      </c>
      <c r="C181" t="str">
        <f t="shared" si="8"/>
        <v>febrero</v>
      </c>
      <c r="D181" t="s">
        <v>163</v>
      </c>
      <c r="E181" t="s">
        <v>75</v>
      </c>
      <c r="G181" t="s">
        <v>232</v>
      </c>
      <c r="H181">
        <v>60</v>
      </c>
      <c r="I181">
        <f>20.46*1.15</f>
        <v>23.529</v>
      </c>
      <c r="J181" s="9">
        <f t="shared" si="9"/>
        <v>1411.74</v>
      </c>
      <c r="K181" s="9">
        <v>45</v>
      </c>
      <c r="L181" s="6">
        <f t="shared" si="10"/>
        <v>2700</v>
      </c>
      <c r="M181" s="9">
        <f t="shared" si="11"/>
        <v>1288.26</v>
      </c>
    </row>
    <row r="182" spans="1:13" x14ac:dyDescent="0.25">
      <c r="A182">
        <v>60</v>
      </c>
      <c r="B182" s="1">
        <v>43876</v>
      </c>
      <c r="C182" t="str">
        <f t="shared" si="8"/>
        <v>febrero</v>
      </c>
      <c r="D182" t="s">
        <v>163</v>
      </c>
      <c r="E182" t="s">
        <v>15</v>
      </c>
      <c r="G182" t="s">
        <v>219</v>
      </c>
      <c r="H182">
        <v>10</v>
      </c>
      <c r="I182">
        <f>170.16*1.15</f>
        <v>195.68399999999997</v>
      </c>
      <c r="J182" s="9">
        <f t="shared" si="9"/>
        <v>1956.8399999999997</v>
      </c>
      <c r="K182" s="9">
        <v>230</v>
      </c>
      <c r="L182" s="6">
        <f t="shared" si="10"/>
        <v>2300</v>
      </c>
      <c r="M182" s="9">
        <f t="shared" si="11"/>
        <v>343.16000000000031</v>
      </c>
    </row>
    <row r="183" spans="1:13" hidden="1" x14ac:dyDescent="0.25">
      <c r="A183">
        <v>61</v>
      </c>
      <c r="B183" s="1">
        <v>43876</v>
      </c>
      <c r="C183" t="str">
        <f t="shared" si="8"/>
        <v>febrero</v>
      </c>
      <c r="D183" t="s">
        <v>163</v>
      </c>
      <c r="E183" t="s">
        <v>55</v>
      </c>
      <c r="G183" t="s">
        <v>61</v>
      </c>
      <c r="H183">
        <v>10</v>
      </c>
      <c r="I183">
        <f>153.11*1.15</f>
        <v>176.07650000000001</v>
      </c>
      <c r="J183" s="9">
        <f t="shared" si="9"/>
        <v>1760.7650000000001</v>
      </c>
      <c r="K183" s="9">
        <v>230</v>
      </c>
      <c r="L183" s="6">
        <f t="shared" si="10"/>
        <v>2300</v>
      </c>
      <c r="M183" s="9">
        <f t="shared" si="11"/>
        <v>539.2349999999999</v>
      </c>
    </row>
    <row r="184" spans="1:13" x14ac:dyDescent="0.25">
      <c r="A184">
        <v>62</v>
      </c>
      <c r="B184" s="1">
        <v>43876</v>
      </c>
      <c r="C184" t="str">
        <f t="shared" si="8"/>
        <v>febrero</v>
      </c>
      <c r="D184" t="s">
        <v>163</v>
      </c>
      <c r="E184" t="s">
        <v>15</v>
      </c>
      <c r="G184" t="s">
        <v>34</v>
      </c>
      <c r="H184">
        <v>10</v>
      </c>
      <c r="I184">
        <f>170.16*1.15</f>
        <v>195.68399999999997</v>
      </c>
      <c r="J184" s="9">
        <f t="shared" si="9"/>
        <v>1956.8399999999997</v>
      </c>
      <c r="K184" s="9">
        <v>230</v>
      </c>
      <c r="L184" s="6">
        <f t="shared" si="10"/>
        <v>2300</v>
      </c>
      <c r="M184" s="9">
        <f t="shared" si="11"/>
        <v>343.16000000000031</v>
      </c>
    </row>
    <row r="185" spans="1:13" hidden="1" x14ac:dyDescent="0.25">
      <c r="A185">
        <v>63</v>
      </c>
      <c r="B185" s="1">
        <v>43876</v>
      </c>
      <c r="C185" t="str">
        <f t="shared" si="8"/>
        <v>febrero</v>
      </c>
      <c r="D185" t="s">
        <v>163</v>
      </c>
      <c r="E185" t="s">
        <v>70</v>
      </c>
      <c r="G185" t="s">
        <v>122</v>
      </c>
      <c r="H185">
        <v>1</v>
      </c>
      <c r="I185">
        <f>2382.57*1.15</f>
        <v>2739.9555</v>
      </c>
      <c r="J185" s="9">
        <f t="shared" si="9"/>
        <v>2739.9555</v>
      </c>
      <c r="K185" s="9">
        <v>3100</v>
      </c>
      <c r="L185" s="6">
        <f t="shared" si="10"/>
        <v>3100</v>
      </c>
      <c r="M185" s="9">
        <f t="shared" si="11"/>
        <v>360.04449999999997</v>
      </c>
    </row>
    <row r="186" spans="1:13" x14ac:dyDescent="0.25">
      <c r="A186">
        <v>64</v>
      </c>
      <c r="B186" s="1">
        <v>43876</v>
      </c>
      <c r="C186" t="str">
        <f t="shared" si="8"/>
        <v>febrero</v>
      </c>
      <c r="D186" t="s">
        <v>163</v>
      </c>
      <c r="E186" t="s">
        <v>15</v>
      </c>
      <c r="G186" t="s">
        <v>233</v>
      </c>
      <c r="H186">
        <v>4</v>
      </c>
      <c r="I186">
        <f>234.95*1.15</f>
        <v>270.19249999999994</v>
      </c>
      <c r="J186" s="9">
        <f t="shared" si="9"/>
        <v>1080.7699999999998</v>
      </c>
      <c r="K186" s="9">
        <v>290</v>
      </c>
      <c r="L186" s="6">
        <f t="shared" si="10"/>
        <v>1160</v>
      </c>
      <c r="M186" s="9">
        <f t="shared" si="11"/>
        <v>79.230000000000246</v>
      </c>
    </row>
    <row r="187" spans="1:13" hidden="1" x14ac:dyDescent="0.25">
      <c r="A187">
        <v>65</v>
      </c>
      <c r="B187" s="1">
        <v>43876</v>
      </c>
      <c r="C187" t="str">
        <f t="shared" si="8"/>
        <v>febrero</v>
      </c>
      <c r="D187" t="s">
        <v>163</v>
      </c>
      <c r="E187" t="s">
        <v>25</v>
      </c>
      <c r="G187" t="s">
        <v>173</v>
      </c>
      <c r="H187">
        <v>5</v>
      </c>
      <c r="I187">
        <f>53.71*1.15</f>
        <v>61.766499999999994</v>
      </c>
      <c r="J187" s="9">
        <f t="shared" si="9"/>
        <v>308.83249999999998</v>
      </c>
      <c r="K187" s="9">
        <v>100</v>
      </c>
      <c r="L187" s="6">
        <f t="shared" si="10"/>
        <v>500</v>
      </c>
      <c r="M187" s="9">
        <f t="shared" si="11"/>
        <v>191.16750000000002</v>
      </c>
    </row>
    <row r="188" spans="1:13" x14ac:dyDescent="0.25">
      <c r="A188">
        <v>66</v>
      </c>
      <c r="B188" s="1">
        <v>43876</v>
      </c>
      <c r="C188" t="str">
        <f t="shared" si="8"/>
        <v>febrero</v>
      </c>
      <c r="D188" t="s">
        <v>163</v>
      </c>
      <c r="E188" t="s">
        <v>15</v>
      </c>
      <c r="G188" t="s">
        <v>153</v>
      </c>
      <c r="H188">
        <v>10</v>
      </c>
      <c r="I188">
        <f>191.3*1.15</f>
        <v>219.995</v>
      </c>
      <c r="J188" s="9">
        <f t="shared" si="9"/>
        <v>2199.9499999999998</v>
      </c>
      <c r="K188" s="9">
        <v>240</v>
      </c>
      <c r="L188" s="6">
        <f t="shared" si="10"/>
        <v>2400</v>
      </c>
      <c r="M188" s="9">
        <f t="shared" si="11"/>
        <v>200.05000000000018</v>
      </c>
    </row>
    <row r="189" spans="1:13" hidden="1" x14ac:dyDescent="0.25">
      <c r="A189">
        <v>67</v>
      </c>
      <c r="B189" s="1">
        <v>43878</v>
      </c>
      <c r="C189" t="str">
        <f t="shared" si="8"/>
        <v>febrero</v>
      </c>
      <c r="D189" t="s">
        <v>27</v>
      </c>
      <c r="E189" t="s">
        <v>15</v>
      </c>
      <c r="G189" t="s">
        <v>28</v>
      </c>
      <c r="H189">
        <v>3.06</v>
      </c>
      <c r="I189">
        <v>299.67</v>
      </c>
      <c r="J189" s="9">
        <f t="shared" si="9"/>
        <v>916.99020000000007</v>
      </c>
      <c r="K189" s="9">
        <v>288</v>
      </c>
      <c r="L189" s="6">
        <f t="shared" si="10"/>
        <v>881.28</v>
      </c>
      <c r="M189" s="9">
        <f t="shared" si="11"/>
        <v>-35.7102000000001</v>
      </c>
    </row>
    <row r="190" spans="1:13" hidden="1" x14ac:dyDescent="0.25">
      <c r="A190">
        <v>68</v>
      </c>
      <c r="B190" s="1">
        <v>43878</v>
      </c>
      <c r="C190" t="str">
        <f t="shared" si="8"/>
        <v>febrero</v>
      </c>
      <c r="D190" t="s">
        <v>27</v>
      </c>
      <c r="E190" t="s">
        <v>15</v>
      </c>
      <c r="G190" t="s">
        <v>20</v>
      </c>
      <c r="H190">
        <v>3.08</v>
      </c>
      <c r="I190">
        <v>266.33999999999997</v>
      </c>
      <c r="J190" s="9">
        <f t="shared" si="9"/>
        <v>820.32719999999995</v>
      </c>
      <c r="K190" s="9">
        <v>240</v>
      </c>
      <c r="L190" s="6">
        <f t="shared" si="10"/>
        <v>739.2</v>
      </c>
      <c r="M190" s="9">
        <f t="shared" si="11"/>
        <v>-81.127199999999903</v>
      </c>
    </row>
    <row r="191" spans="1:13" hidden="1" x14ac:dyDescent="0.25">
      <c r="A191">
        <v>69</v>
      </c>
      <c r="B191" s="1">
        <v>43878</v>
      </c>
      <c r="C191" t="str">
        <f t="shared" si="8"/>
        <v>febrero</v>
      </c>
      <c r="D191" t="s">
        <v>13</v>
      </c>
      <c r="E191" t="s">
        <v>55</v>
      </c>
      <c r="G191" t="s">
        <v>97</v>
      </c>
      <c r="H191">
        <v>2</v>
      </c>
      <c r="I191">
        <v>226</v>
      </c>
      <c r="J191" s="9">
        <f t="shared" si="9"/>
        <v>452</v>
      </c>
      <c r="K191" s="9">
        <v>280</v>
      </c>
      <c r="L191" s="6">
        <f t="shared" si="10"/>
        <v>560</v>
      </c>
      <c r="M191" s="9">
        <f t="shared" si="11"/>
        <v>108</v>
      </c>
    </row>
    <row r="192" spans="1:13" hidden="1" x14ac:dyDescent="0.25">
      <c r="A192">
        <v>70</v>
      </c>
      <c r="B192" s="1">
        <v>43878</v>
      </c>
      <c r="C192" t="str">
        <f t="shared" si="8"/>
        <v>febrero</v>
      </c>
      <c r="D192" t="s">
        <v>13</v>
      </c>
      <c r="E192" t="s">
        <v>55</v>
      </c>
      <c r="G192" t="s">
        <v>115</v>
      </c>
      <c r="H192">
        <v>8</v>
      </c>
      <c r="I192">
        <v>226</v>
      </c>
      <c r="J192" s="9">
        <f t="shared" si="9"/>
        <v>1808</v>
      </c>
      <c r="K192" s="9">
        <v>280</v>
      </c>
      <c r="L192" s="6">
        <f t="shared" si="10"/>
        <v>2240</v>
      </c>
      <c r="M192" s="9">
        <f t="shared" si="11"/>
        <v>432</v>
      </c>
    </row>
    <row r="193" spans="1:13" hidden="1" x14ac:dyDescent="0.25">
      <c r="A193">
        <v>71</v>
      </c>
      <c r="B193" s="1">
        <v>43878</v>
      </c>
      <c r="C193" t="str">
        <f t="shared" si="8"/>
        <v>febrero</v>
      </c>
      <c r="D193" t="s">
        <v>13</v>
      </c>
      <c r="E193" t="s">
        <v>15</v>
      </c>
      <c r="G193" t="s">
        <v>104</v>
      </c>
      <c r="H193">
        <v>1.33</v>
      </c>
      <c r="I193">
        <v>280</v>
      </c>
      <c r="J193" s="9">
        <f t="shared" si="9"/>
        <v>372.40000000000003</v>
      </c>
      <c r="K193" s="9">
        <v>300</v>
      </c>
      <c r="L193" s="6">
        <f t="shared" si="10"/>
        <v>399</v>
      </c>
      <c r="M193" s="9">
        <f t="shared" si="11"/>
        <v>26.599999999999966</v>
      </c>
    </row>
    <row r="194" spans="1:13" hidden="1" x14ac:dyDescent="0.25">
      <c r="A194">
        <v>72</v>
      </c>
      <c r="B194" s="1">
        <v>43880</v>
      </c>
      <c r="C194" t="str">
        <f t="shared" ref="C194:C257" si="12">+TEXT(B194,"mmmm")</f>
        <v>febrero</v>
      </c>
      <c r="D194" t="s">
        <v>13</v>
      </c>
      <c r="E194" t="s">
        <v>55</v>
      </c>
      <c r="G194" t="s">
        <v>97</v>
      </c>
      <c r="H194">
        <v>14</v>
      </c>
      <c r="I194">
        <v>230</v>
      </c>
      <c r="J194" s="9">
        <f t="shared" ref="J194:J257" si="13">+H194*I194</f>
        <v>3220</v>
      </c>
      <c r="K194" s="9">
        <v>280</v>
      </c>
      <c r="L194" s="6">
        <f t="shared" ref="L194:L257" si="14">+H194*K194</f>
        <v>3920</v>
      </c>
      <c r="M194" s="9">
        <f t="shared" ref="M194:M252" si="15">+L194-J194</f>
        <v>700</v>
      </c>
    </row>
    <row r="195" spans="1:13" hidden="1" x14ac:dyDescent="0.25">
      <c r="A195">
        <v>73</v>
      </c>
      <c r="B195" s="1">
        <v>43880</v>
      </c>
      <c r="C195" t="str">
        <f t="shared" si="12"/>
        <v>febrero</v>
      </c>
      <c r="D195" t="s">
        <v>13</v>
      </c>
      <c r="E195" t="s">
        <v>55</v>
      </c>
      <c r="G195" t="s">
        <v>115</v>
      </c>
      <c r="H195">
        <v>4</v>
      </c>
      <c r="I195">
        <v>230</v>
      </c>
      <c r="J195" s="9">
        <f t="shared" si="13"/>
        <v>920</v>
      </c>
      <c r="K195" s="9">
        <v>280</v>
      </c>
      <c r="L195" s="6">
        <f t="shared" si="14"/>
        <v>1120</v>
      </c>
      <c r="M195" s="9">
        <f t="shared" si="15"/>
        <v>200</v>
      </c>
    </row>
    <row r="196" spans="1:13" hidden="1" x14ac:dyDescent="0.25">
      <c r="A196">
        <v>74</v>
      </c>
      <c r="B196" s="1">
        <v>43882</v>
      </c>
      <c r="C196" t="str">
        <f t="shared" si="12"/>
        <v>febrero</v>
      </c>
      <c r="D196" t="s">
        <v>13</v>
      </c>
      <c r="E196" t="s">
        <v>15</v>
      </c>
      <c r="G196" t="s">
        <v>235</v>
      </c>
      <c r="H196">
        <v>17.29</v>
      </c>
      <c r="I196">
        <v>280</v>
      </c>
      <c r="J196" s="9">
        <f t="shared" si="13"/>
        <v>4841.2</v>
      </c>
      <c r="K196" s="9">
        <v>300</v>
      </c>
      <c r="L196" s="6">
        <f t="shared" si="14"/>
        <v>5187</v>
      </c>
      <c r="M196" s="9">
        <f t="shared" si="15"/>
        <v>345.80000000000018</v>
      </c>
    </row>
    <row r="197" spans="1:13" hidden="1" x14ac:dyDescent="0.25">
      <c r="A197">
        <v>75</v>
      </c>
      <c r="B197" s="1">
        <v>43882</v>
      </c>
      <c r="C197" t="str">
        <f t="shared" si="12"/>
        <v>febrero</v>
      </c>
      <c r="D197" t="s">
        <v>13</v>
      </c>
      <c r="E197" t="s">
        <v>55</v>
      </c>
      <c r="G197" t="s">
        <v>97</v>
      </c>
      <c r="H197">
        <v>4</v>
      </c>
      <c r="I197">
        <v>230</v>
      </c>
      <c r="J197" s="9">
        <f t="shared" si="13"/>
        <v>920</v>
      </c>
      <c r="K197" s="9">
        <v>280</v>
      </c>
      <c r="L197" s="6">
        <f t="shared" si="14"/>
        <v>1120</v>
      </c>
      <c r="M197" s="9">
        <f t="shared" si="15"/>
        <v>200</v>
      </c>
    </row>
    <row r="198" spans="1:13" hidden="1" x14ac:dyDescent="0.25">
      <c r="A198">
        <v>76</v>
      </c>
      <c r="B198" s="1">
        <v>43882</v>
      </c>
      <c r="C198" t="str">
        <f t="shared" si="12"/>
        <v>febrero</v>
      </c>
      <c r="D198" t="s">
        <v>13</v>
      </c>
      <c r="E198" t="s">
        <v>55</v>
      </c>
      <c r="G198" t="s">
        <v>115</v>
      </c>
      <c r="H198">
        <v>2</v>
      </c>
      <c r="I198">
        <v>230</v>
      </c>
      <c r="J198" s="9">
        <f t="shared" si="13"/>
        <v>460</v>
      </c>
      <c r="K198" s="9">
        <v>280</v>
      </c>
      <c r="L198" s="6">
        <f t="shared" si="14"/>
        <v>560</v>
      </c>
      <c r="M198" s="9">
        <f t="shared" si="15"/>
        <v>100</v>
      </c>
    </row>
    <row r="199" spans="1:13" hidden="1" x14ac:dyDescent="0.25">
      <c r="A199">
        <v>77</v>
      </c>
      <c r="B199" s="1">
        <v>43882</v>
      </c>
      <c r="C199" t="str">
        <f t="shared" si="12"/>
        <v>febrero</v>
      </c>
      <c r="D199" t="s">
        <v>13</v>
      </c>
      <c r="E199" t="s">
        <v>64</v>
      </c>
      <c r="G199" t="s">
        <v>105</v>
      </c>
      <c r="H199">
        <v>1.19</v>
      </c>
      <c r="I199">
        <v>330</v>
      </c>
      <c r="J199" s="9">
        <f t="shared" si="13"/>
        <v>392.7</v>
      </c>
      <c r="K199" s="9">
        <v>430</v>
      </c>
      <c r="L199" s="6">
        <f t="shared" si="14"/>
        <v>511.7</v>
      </c>
      <c r="M199" s="9">
        <f t="shared" si="15"/>
        <v>119</v>
      </c>
    </row>
    <row r="200" spans="1:13" hidden="1" x14ac:dyDescent="0.25">
      <c r="A200">
        <v>78</v>
      </c>
      <c r="B200" s="1">
        <v>43882</v>
      </c>
      <c r="C200" t="str">
        <f t="shared" si="12"/>
        <v>febrero</v>
      </c>
      <c r="D200" t="s">
        <v>13</v>
      </c>
      <c r="E200" t="s">
        <v>55</v>
      </c>
      <c r="G200" t="s">
        <v>22</v>
      </c>
      <c r="H200">
        <v>2.82</v>
      </c>
      <c r="I200">
        <v>280</v>
      </c>
      <c r="J200" s="9">
        <f t="shared" si="13"/>
        <v>789.59999999999991</v>
      </c>
      <c r="K200" s="9">
        <v>300</v>
      </c>
      <c r="L200" s="6">
        <f t="shared" si="14"/>
        <v>846</v>
      </c>
      <c r="M200" s="9">
        <f t="shared" si="15"/>
        <v>56.400000000000091</v>
      </c>
    </row>
    <row r="201" spans="1:13" hidden="1" x14ac:dyDescent="0.25">
      <c r="A201">
        <v>79</v>
      </c>
      <c r="B201" s="1">
        <v>43882</v>
      </c>
      <c r="C201" t="str">
        <f t="shared" si="12"/>
        <v>febrero</v>
      </c>
      <c r="D201" t="s">
        <v>165</v>
      </c>
      <c r="E201" t="s">
        <v>56</v>
      </c>
      <c r="G201" t="s">
        <v>236</v>
      </c>
      <c r="H201">
        <v>50</v>
      </c>
      <c r="I201">
        <v>80</v>
      </c>
      <c r="J201" s="9">
        <f t="shared" si="13"/>
        <v>4000</v>
      </c>
      <c r="K201" s="9">
        <v>120</v>
      </c>
      <c r="L201" s="6">
        <f t="shared" si="14"/>
        <v>6000</v>
      </c>
      <c r="M201" s="9">
        <f t="shared" si="15"/>
        <v>2000</v>
      </c>
    </row>
    <row r="202" spans="1:13" hidden="1" x14ac:dyDescent="0.25">
      <c r="A202">
        <v>80</v>
      </c>
      <c r="B202" s="1">
        <v>43882</v>
      </c>
      <c r="C202" t="str">
        <f t="shared" si="12"/>
        <v>febrero</v>
      </c>
      <c r="D202" t="s">
        <v>165</v>
      </c>
      <c r="E202" t="s">
        <v>25</v>
      </c>
      <c r="G202" t="s">
        <v>25</v>
      </c>
      <c r="H202">
        <f>11*12</f>
        <v>132</v>
      </c>
      <c r="I202">
        <f>380/12</f>
        <v>31.666666666666668</v>
      </c>
      <c r="J202" s="9">
        <f t="shared" si="13"/>
        <v>4180</v>
      </c>
      <c r="K202" s="9">
        <v>60</v>
      </c>
      <c r="L202" s="6">
        <f t="shared" si="14"/>
        <v>7920</v>
      </c>
      <c r="M202" s="9">
        <f t="shared" si="15"/>
        <v>3740</v>
      </c>
    </row>
    <row r="203" spans="1:13" hidden="1" x14ac:dyDescent="0.25">
      <c r="A203">
        <v>81</v>
      </c>
      <c r="B203" s="1">
        <v>43882</v>
      </c>
      <c r="C203" t="str">
        <f t="shared" si="12"/>
        <v>febrero</v>
      </c>
      <c r="D203" t="s">
        <v>237</v>
      </c>
      <c r="E203" t="s">
        <v>70</v>
      </c>
      <c r="G203" t="s">
        <v>239</v>
      </c>
      <c r="H203">
        <v>3</v>
      </c>
      <c r="I203">
        <v>115</v>
      </c>
      <c r="J203" s="9">
        <f t="shared" si="13"/>
        <v>345</v>
      </c>
      <c r="K203" s="9">
        <v>160</v>
      </c>
      <c r="L203" s="6">
        <f t="shared" si="14"/>
        <v>480</v>
      </c>
      <c r="M203" s="9">
        <f t="shared" si="15"/>
        <v>135</v>
      </c>
    </row>
    <row r="204" spans="1:13" hidden="1" x14ac:dyDescent="0.25">
      <c r="A204">
        <v>82</v>
      </c>
      <c r="B204" s="1">
        <v>43882</v>
      </c>
      <c r="C204" t="str">
        <f t="shared" si="12"/>
        <v>febrero</v>
      </c>
      <c r="D204" t="s">
        <v>237</v>
      </c>
      <c r="E204" t="s">
        <v>78</v>
      </c>
      <c r="G204" t="s">
        <v>124</v>
      </c>
      <c r="H204">
        <v>10</v>
      </c>
      <c r="I204">
        <v>60</v>
      </c>
      <c r="J204" s="9">
        <f t="shared" si="13"/>
        <v>600</v>
      </c>
      <c r="K204" s="9">
        <v>90</v>
      </c>
      <c r="L204" s="6">
        <f t="shared" si="14"/>
        <v>900</v>
      </c>
      <c r="M204" s="9">
        <f t="shared" si="15"/>
        <v>300</v>
      </c>
    </row>
    <row r="205" spans="1:13" hidden="1" x14ac:dyDescent="0.25">
      <c r="A205">
        <v>83</v>
      </c>
      <c r="B205" s="1">
        <v>43882</v>
      </c>
      <c r="C205" t="str">
        <f t="shared" si="12"/>
        <v>febrero</v>
      </c>
      <c r="D205" t="s">
        <v>237</v>
      </c>
      <c r="E205" t="s">
        <v>23</v>
      </c>
      <c r="G205" t="s">
        <v>238</v>
      </c>
      <c r="H205">
        <v>1</v>
      </c>
      <c r="I205">
        <v>108</v>
      </c>
      <c r="J205" s="9">
        <f t="shared" si="13"/>
        <v>108</v>
      </c>
      <c r="L205" s="6">
        <f t="shared" si="14"/>
        <v>0</v>
      </c>
      <c r="M205" s="9">
        <f t="shared" si="15"/>
        <v>-108</v>
      </c>
    </row>
    <row r="206" spans="1:13" hidden="1" x14ac:dyDescent="0.25">
      <c r="A206">
        <v>94</v>
      </c>
      <c r="B206" s="1">
        <v>43882</v>
      </c>
      <c r="C206" t="str">
        <f t="shared" si="12"/>
        <v>febrero</v>
      </c>
      <c r="D206" t="s">
        <v>198</v>
      </c>
      <c r="E206" t="s">
        <v>92</v>
      </c>
      <c r="G206" t="s">
        <v>258</v>
      </c>
      <c r="H206">
        <v>3</v>
      </c>
      <c r="I206">
        <v>200</v>
      </c>
      <c r="J206" s="9">
        <f t="shared" si="13"/>
        <v>600</v>
      </c>
      <c r="K206" s="9">
        <v>270</v>
      </c>
      <c r="L206" s="6">
        <f t="shared" si="14"/>
        <v>810</v>
      </c>
      <c r="M206" s="9">
        <f t="shared" si="15"/>
        <v>210</v>
      </c>
    </row>
    <row r="207" spans="1:13" hidden="1" x14ac:dyDescent="0.25">
      <c r="A207">
        <v>95</v>
      </c>
      <c r="B207" s="1">
        <v>43882</v>
      </c>
      <c r="C207" t="str">
        <f t="shared" si="12"/>
        <v>febrero</v>
      </c>
      <c r="D207" t="s">
        <v>198</v>
      </c>
      <c r="E207" t="s">
        <v>78</v>
      </c>
      <c r="G207" t="s">
        <v>124</v>
      </c>
      <c r="H207">
        <v>10</v>
      </c>
      <c r="I207">
        <v>60</v>
      </c>
      <c r="J207" s="9">
        <f t="shared" si="13"/>
        <v>600</v>
      </c>
      <c r="K207" s="9">
        <v>90</v>
      </c>
      <c r="L207" s="6">
        <f t="shared" si="14"/>
        <v>900</v>
      </c>
      <c r="M207" s="9">
        <f t="shared" si="15"/>
        <v>300</v>
      </c>
    </row>
    <row r="208" spans="1:13" hidden="1" x14ac:dyDescent="0.25">
      <c r="A208">
        <v>96</v>
      </c>
      <c r="B208" s="1">
        <v>43882</v>
      </c>
      <c r="C208" t="str">
        <f t="shared" si="12"/>
        <v>febrero</v>
      </c>
      <c r="D208" t="s">
        <v>198</v>
      </c>
      <c r="E208" t="s">
        <v>44</v>
      </c>
      <c r="G208" t="s">
        <v>138</v>
      </c>
      <c r="H208">
        <v>20</v>
      </c>
      <c r="I208">
        <v>24.5</v>
      </c>
      <c r="J208" s="9">
        <f t="shared" si="13"/>
        <v>490</v>
      </c>
      <c r="K208" s="9">
        <v>35</v>
      </c>
      <c r="L208" s="6">
        <f t="shared" si="14"/>
        <v>700</v>
      </c>
      <c r="M208" s="9">
        <f t="shared" si="15"/>
        <v>210</v>
      </c>
    </row>
    <row r="209" spans="1:13" hidden="1" x14ac:dyDescent="0.25">
      <c r="A209">
        <v>97</v>
      </c>
      <c r="B209" s="1">
        <v>43882</v>
      </c>
      <c r="C209" t="str">
        <f t="shared" si="12"/>
        <v>febrero</v>
      </c>
      <c r="D209" t="s">
        <v>198</v>
      </c>
      <c r="E209" t="s">
        <v>44</v>
      </c>
      <c r="G209" t="s">
        <v>226</v>
      </c>
      <c r="H209">
        <v>12</v>
      </c>
      <c r="I209">
        <v>22</v>
      </c>
      <c r="J209" s="9">
        <f t="shared" si="13"/>
        <v>264</v>
      </c>
      <c r="K209" s="9">
        <v>35</v>
      </c>
      <c r="L209" s="6">
        <f t="shared" si="14"/>
        <v>420</v>
      </c>
      <c r="M209" s="9">
        <f t="shared" si="15"/>
        <v>156</v>
      </c>
    </row>
    <row r="210" spans="1:13" hidden="1" x14ac:dyDescent="0.25">
      <c r="A210">
        <v>98</v>
      </c>
      <c r="B210" s="1">
        <v>43882</v>
      </c>
      <c r="C210" t="str">
        <f t="shared" si="12"/>
        <v>febrero</v>
      </c>
      <c r="D210" t="s">
        <v>198</v>
      </c>
      <c r="E210" t="s">
        <v>44</v>
      </c>
      <c r="G210" t="s">
        <v>133</v>
      </c>
      <c r="H210">
        <v>12</v>
      </c>
      <c r="I210">
        <v>16.5</v>
      </c>
      <c r="J210" s="9">
        <f t="shared" si="13"/>
        <v>198</v>
      </c>
      <c r="K210" s="9">
        <v>35</v>
      </c>
      <c r="L210" s="6">
        <f t="shared" si="14"/>
        <v>420</v>
      </c>
      <c r="M210" s="9">
        <f t="shared" si="15"/>
        <v>222</v>
      </c>
    </row>
    <row r="211" spans="1:13" hidden="1" x14ac:dyDescent="0.25">
      <c r="A211">
        <v>99</v>
      </c>
      <c r="B211" s="1">
        <v>43882</v>
      </c>
      <c r="C211" t="str">
        <f t="shared" si="12"/>
        <v>febrero</v>
      </c>
      <c r="D211" t="s">
        <v>198</v>
      </c>
      <c r="E211" t="s">
        <v>78</v>
      </c>
      <c r="G211" t="s">
        <v>259</v>
      </c>
      <c r="H211">
        <v>2</v>
      </c>
      <c r="I211">
        <v>750</v>
      </c>
      <c r="J211" s="9">
        <f t="shared" si="13"/>
        <v>1500</v>
      </c>
      <c r="K211" s="9">
        <v>1000</v>
      </c>
      <c r="L211" s="6">
        <f t="shared" si="14"/>
        <v>2000</v>
      </c>
      <c r="M211" s="9">
        <f t="shared" si="15"/>
        <v>500</v>
      </c>
    </row>
    <row r="212" spans="1:13" hidden="1" x14ac:dyDescent="0.25">
      <c r="A212">
        <v>100</v>
      </c>
      <c r="B212" s="1">
        <v>43882</v>
      </c>
      <c r="C212" t="str">
        <f t="shared" si="12"/>
        <v>febrero</v>
      </c>
      <c r="D212" t="s">
        <v>198</v>
      </c>
      <c r="E212" t="s">
        <v>92</v>
      </c>
      <c r="G212" t="s">
        <v>260</v>
      </c>
      <c r="H212">
        <v>3</v>
      </c>
      <c r="I212">
        <v>28</v>
      </c>
      <c r="J212" s="9">
        <f t="shared" si="13"/>
        <v>84</v>
      </c>
      <c r="K212" s="9">
        <v>50</v>
      </c>
      <c r="L212" s="6">
        <f t="shared" si="14"/>
        <v>150</v>
      </c>
      <c r="M212" s="9">
        <f t="shared" si="15"/>
        <v>66</v>
      </c>
    </row>
    <row r="213" spans="1:13" hidden="1" x14ac:dyDescent="0.25">
      <c r="A213">
        <v>101</v>
      </c>
      <c r="B213" s="1">
        <v>43882</v>
      </c>
      <c r="C213" t="str">
        <f t="shared" si="12"/>
        <v>febrero</v>
      </c>
      <c r="D213" t="s">
        <v>163</v>
      </c>
      <c r="E213" t="s">
        <v>56</v>
      </c>
      <c r="G213" t="s">
        <v>171</v>
      </c>
      <c r="H213">
        <v>80</v>
      </c>
      <c r="I213">
        <v>117.17</v>
      </c>
      <c r="J213" s="9">
        <f t="shared" si="13"/>
        <v>9373.6</v>
      </c>
      <c r="K213" s="9">
        <v>170</v>
      </c>
      <c r="L213" s="6">
        <f t="shared" si="14"/>
        <v>13600</v>
      </c>
      <c r="M213" s="9">
        <f t="shared" si="15"/>
        <v>4226.3999999999996</v>
      </c>
    </row>
    <row r="214" spans="1:13" x14ac:dyDescent="0.25">
      <c r="A214">
        <v>102</v>
      </c>
      <c r="B214" s="1">
        <v>43882</v>
      </c>
      <c r="C214" t="str">
        <f t="shared" si="12"/>
        <v>febrero</v>
      </c>
      <c r="D214" t="s">
        <v>163</v>
      </c>
      <c r="E214" t="s">
        <v>15</v>
      </c>
      <c r="G214" t="s">
        <v>153</v>
      </c>
      <c r="H214">
        <v>22</v>
      </c>
      <c r="I214">
        <v>219.99</v>
      </c>
      <c r="J214" s="9">
        <f t="shared" si="13"/>
        <v>4839.7800000000007</v>
      </c>
      <c r="K214" s="9">
        <v>240</v>
      </c>
      <c r="L214" s="6">
        <f t="shared" si="14"/>
        <v>5280</v>
      </c>
      <c r="M214" s="9">
        <f t="shared" si="15"/>
        <v>440.21999999999935</v>
      </c>
    </row>
    <row r="215" spans="1:13" x14ac:dyDescent="0.25">
      <c r="A215">
        <v>103</v>
      </c>
      <c r="B215" s="1">
        <v>43882</v>
      </c>
      <c r="C215" t="str">
        <f t="shared" si="12"/>
        <v>febrero</v>
      </c>
      <c r="D215" t="s">
        <v>163</v>
      </c>
      <c r="E215" t="s">
        <v>15</v>
      </c>
      <c r="G215" t="s">
        <v>32</v>
      </c>
      <c r="H215">
        <v>10</v>
      </c>
      <c r="I215">
        <v>214.11</v>
      </c>
      <c r="J215" s="9">
        <f t="shared" si="13"/>
        <v>2141.1000000000004</v>
      </c>
      <c r="K215" s="9">
        <v>280</v>
      </c>
      <c r="L215" s="6">
        <f t="shared" si="14"/>
        <v>2800</v>
      </c>
      <c r="M215" s="9">
        <f t="shared" si="15"/>
        <v>658.89999999999964</v>
      </c>
    </row>
    <row r="216" spans="1:13" x14ac:dyDescent="0.25">
      <c r="A216">
        <v>104</v>
      </c>
      <c r="B216" s="1">
        <v>43882</v>
      </c>
      <c r="C216" t="str">
        <f t="shared" si="12"/>
        <v>febrero</v>
      </c>
      <c r="D216" t="s">
        <v>163</v>
      </c>
      <c r="E216" t="s">
        <v>15</v>
      </c>
      <c r="G216" t="s">
        <v>219</v>
      </c>
      <c r="H216">
        <v>10</v>
      </c>
      <c r="I216">
        <v>195.68</v>
      </c>
      <c r="J216" s="9">
        <f t="shared" si="13"/>
        <v>1956.8000000000002</v>
      </c>
      <c r="K216" s="9">
        <v>230</v>
      </c>
      <c r="L216" s="6">
        <f t="shared" si="14"/>
        <v>2300</v>
      </c>
      <c r="M216" s="9">
        <f t="shared" si="15"/>
        <v>343.19999999999982</v>
      </c>
    </row>
    <row r="217" spans="1:13" x14ac:dyDescent="0.25">
      <c r="A217">
        <v>105</v>
      </c>
      <c r="B217" s="1">
        <v>43882</v>
      </c>
      <c r="C217" t="str">
        <f t="shared" si="12"/>
        <v>febrero</v>
      </c>
      <c r="D217" t="s">
        <v>163</v>
      </c>
      <c r="E217" t="s">
        <v>15</v>
      </c>
      <c r="G217" t="s">
        <v>35</v>
      </c>
      <c r="H217">
        <v>50</v>
      </c>
      <c r="I217">
        <v>195.68</v>
      </c>
      <c r="J217" s="9">
        <f t="shared" si="13"/>
        <v>9784</v>
      </c>
      <c r="K217" s="9">
        <v>230</v>
      </c>
      <c r="L217" s="6">
        <f t="shared" si="14"/>
        <v>11500</v>
      </c>
      <c r="M217" s="9">
        <f t="shared" si="15"/>
        <v>1716</v>
      </c>
    </row>
    <row r="218" spans="1:13" x14ac:dyDescent="0.25">
      <c r="A218">
        <v>106</v>
      </c>
      <c r="B218" s="1">
        <v>43882</v>
      </c>
      <c r="C218" t="str">
        <f t="shared" si="12"/>
        <v>febrero</v>
      </c>
      <c r="D218" t="s">
        <v>163</v>
      </c>
      <c r="E218" t="s">
        <v>15</v>
      </c>
      <c r="G218" t="s">
        <v>52</v>
      </c>
      <c r="H218">
        <v>16</v>
      </c>
      <c r="I218">
        <v>199.6</v>
      </c>
      <c r="J218" s="9">
        <f t="shared" si="13"/>
        <v>3193.6</v>
      </c>
      <c r="K218" s="9">
        <v>240</v>
      </c>
      <c r="L218" s="6">
        <f t="shared" si="14"/>
        <v>3840</v>
      </c>
      <c r="M218" s="9">
        <f t="shared" si="15"/>
        <v>646.40000000000009</v>
      </c>
    </row>
    <row r="219" spans="1:13" x14ac:dyDescent="0.25">
      <c r="A219">
        <v>107</v>
      </c>
      <c r="B219" s="1">
        <v>43882</v>
      </c>
      <c r="C219" t="str">
        <f t="shared" si="12"/>
        <v>febrero</v>
      </c>
      <c r="D219" t="s">
        <v>163</v>
      </c>
      <c r="E219" t="s">
        <v>15</v>
      </c>
      <c r="G219" t="s">
        <v>54</v>
      </c>
      <c r="H219">
        <v>100</v>
      </c>
      <c r="I219">
        <v>212.15</v>
      </c>
      <c r="J219" s="9">
        <f t="shared" si="13"/>
        <v>21215</v>
      </c>
      <c r="K219" s="9">
        <v>240</v>
      </c>
      <c r="L219" s="6">
        <f t="shared" si="14"/>
        <v>24000</v>
      </c>
      <c r="M219" s="9">
        <f t="shared" si="15"/>
        <v>2785</v>
      </c>
    </row>
    <row r="220" spans="1:13" x14ac:dyDescent="0.25">
      <c r="A220">
        <v>108</v>
      </c>
      <c r="B220" s="1">
        <v>43882</v>
      </c>
      <c r="C220" t="str">
        <f t="shared" si="12"/>
        <v>febrero</v>
      </c>
      <c r="D220" t="s">
        <v>163</v>
      </c>
      <c r="E220" t="s">
        <v>15</v>
      </c>
      <c r="G220" t="s">
        <v>80</v>
      </c>
      <c r="H220">
        <v>100</v>
      </c>
      <c r="I220">
        <v>211.76</v>
      </c>
      <c r="J220" s="9">
        <f t="shared" si="13"/>
        <v>21176</v>
      </c>
      <c r="K220" s="9">
        <v>240</v>
      </c>
      <c r="L220" s="6">
        <f t="shared" si="14"/>
        <v>24000</v>
      </c>
      <c r="M220" s="9">
        <f t="shared" si="15"/>
        <v>2824</v>
      </c>
    </row>
    <row r="221" spans="1:13" x14ac:dyDescent="0.25">
      <c r="A221">
        <v>109</v>
      </c>
      <c r="B221" s="1">
        <v>43882</v>
      </c>
      <c r="C221" t="str">
        <f t="shared" si="12"/>
        <v>febrero</v>
      </c>
      <c r="D221" t="s">
        <v>163</v>
      </c>
      <c r="E221" t="s">
        <v>15</v>
      </c>
      <c r="G221" t="s">
        <v>20</v>
      </c>
      <c r="H221">
        <v>100</v>
      </c>
      <c r="I221">
        <v>215.68</v>
      </c>
      <c r="J221" s="9">
        <f t="shared" si="13"/>
        <v>21568</v>
      </c>
      <c r="K221" s="9">
        <v>240</v>
      </c>
      <c r="L221" s="6">
        <f t="shared" si="14"/>
        <v>24000</v>
      </c>
      <c r="M221" s="9">
        <f t="shared" si="15"/>
        <v>2432</v>
      </c>
    </row>
    <row r="222" spans="1:13" x14ac:dyDescent="0.25">
      <c r="A222">
        <v>110</v>
      </c>
      <c r="B222" s="1">
        <v>43882</v>
      </c>
      <c r="C222" t="str">
        <f t="shared" si="12"/>
        <v>febrero</v>
      </c>
      <c r="D222" t="s">
        <v>163</v>
      </c>
      <c r="E222" t="s">
        <v>15</v>
      </c>
      <c r="G222" t="s">
        <v>76</v>
      </c>
      <c r="H222">
        <v>20</v>
      </c>
      <c r="I222">
        <v>199.6</v>
      </c>
      <c r="J222" s="9">
        <f t="shared" si="13"/>
        <v>3992</v>
      </c>
      <c r="K222" s="9">
        <v>230</v>
      </c>
      <c r="L222" s="6">
        <f t="shared" si="14"/>
        <v>4600</v>
      </c>
      <c r="M222" s="9">
        <f t="shared" si="15"/>
        <v>608</v>
      </c>
    </row>
    <row r="223" spans="1:13" x14ac:dyDescent="0.25">
      <c r="A223">
        <v>111</v>
      </c>
      <c r="B223" s="1">
        <v>43882</v>
      </c>
      <c r="C223" t="str">
        <f t="shared" si="12"/>
        <v>febrero</v>
      </c>
      <c r="D223" t="s">
        <v>163</v>
      </c>
      <c r="E223" t="s">
        <v>15</v>
      </c>
      <c r="G223" t="s">
        <v>34</v>
      </c>
      <c r="H223">
        <v>10</v>
      </c>
      <c r="I223">
        <v>195.68</v>
      </c>
      <c r="J223" s="9">
        <f t="shared" si="13"/>
        <v>1956.8000000000002</v>
      </c>
      <c r="K223" s="9">
        <v>230</v>
      </c>
      <c r="L223" s="6">
        <f t="shared" si="14"/>
        <v>2300</v>
      </c>
      <c r="M223" s="9">
        <f t="shared" si="15"/>
        <v>343.19999999999982</v>
      </c>
    </row>
    <row r="224" spans="1:13" x14ac:dyDescent="0.25">
      <c r="A224">
        <v>112</v>
      </c>
      <c r="B224" s="1">
        <v>43882</v>
      </c>
      <c r="C224" t="str">
        <f t="shared" si="12"/>
        <v>febrero</v>
      </c>
      <c r="D224" t="s">
        <v>163</v>
      </c>
      <c r="E224" t="s">
        <v>15</v>
      </c>
      <c r="G224" t="s">
        <v>261</v>
      </c>
      <c r="H224">
        <v>50</v>
      </c>
      <c r="I224">
        <v>203.99</v>
      </c>
      <c r="J224" s="9">
        <f t="shared" si="13"/>
        <v>10199.5</v>
      </c>
      <c r="K224" s="9">
        <v>240</v>
      </c>
      <c r="L224" s="6">
        <f t="shared" si="14"/>
        <v>12000</v>
      </c>
      <c r="M224" s="9">
        <f t="shared" si="15"/>
        <v>1800.5</v>
      </c>
    </row>
    <row r="225" spans="1:13" hidden="1" x14ac:dyDescent="0.25">
      <c r="A225">
        <v>113</v>
      </c>
      <c r="B225" s="1">
        <v>43883</v>
      </c>
      <c r="C225" t="str">
        <f t="shared" si="12"/>
        <v>febrero</v>
      </c>
      <c r="D225" t="s">
        <v>13</v>
      </c>
      <c r="E225" t="s">
        <v>55</v>
      </c>
      <c r="G225" t="s">
        <v>228</v>
      </c>
      <c r="H225">
        <v>10</v>
      </c>
      <c r="I225">
        <v>280</v>
      </c>
      <c r="J225" s="9">
        <f t="shared" si="13"/>
        <v>2800</v>
      </c>
      <c r="K225" s="9">
        <v>300</v>
      </c>
      <c r="L225" s="6">
        <f t="shared" si="14"/>
        <v>3000</v>
      </c>
      <c r="M225" s="9">
        <f t="shared" si="15"/>
        <v>200</v>
      </c>
    </row>
    <row r="226" spans="1:13" hidden="1" x14ac:dyDescent="0.25">
      <c r="A226">
        <v>114</v>
      </c>
      <c r="B226" s="1">
        <v>43883</v>
      </c>
      <c r="C226" t="str">
        <f t="shared" si="12"/>
        <v>febrero</v>
      </c>
      <c r="D226" t="s">
        <v>13</v>
      </c>
      <c r="E226" t="s">
        <v>55</v>
      </c>
      <c r="G226" t="s">
        <v>254</v>
      </c>
      <c r="H226">
        <v>2</v>
      </c>
      <c r="I226">
        <v>280</v>
      </c>
      <c r="J226" s="9">
        <f t="shared" si="13"/>
        <v>560</v>
      </c>
      <c r="K226" s="9">
        <v>300</v>
      </c>
      <c r="L226" s="6">
        <f t="shared" si="14"/>
        <v>600</v>
      </c>
      <c r="M226" s="9">
        <f t="shared" si="15"/>
        <v>40</v>
      </c>
    </row>
    <row r="227" spans="1:13" hidden="1" x14ac:dyDescent="0.25">
      <c r="A227">
        <v>115</v>
      </c>
      <c r="B227" s="1">
        <v>43885</v>
      </c>
      <c r="C227" t="str">
        <f t="shared" si="12"/>
        <v>febrero</v>
      </c>
      <c r="D227" t="s">
        <v>13</v>
      </c>
      <c r="E227" t="s">
        <v>55</v>
      </c>
      <c r="G227" t="s">
        <v>97</v>
      </c>
      <c r="H227">
        <v>10</v>
      </c>
      <c r="I227">
        <v>230</v>
      </c>
      <c r="J227" s="9">
        <f t="shared" si="13"/>
        <v>2300</v>
      </c>
      <c r="K227" s="9">
        <v>280</v>
      </c>
      <c r="L227" s="9">
        <f t="shared" si="14"/>
        <v>2800</v>
      </c>
      <c r="M227" s="9">
        <f t="shared" si="15"/>
        <v>500</v>
      </c>
    </row>
    <row r="228" spans="1:13" hidden="1" x14ac:dyDescent="0.25">
      <c r="A228">
        <v>116</v>
      </c>
      <c r="B228" s="1">
        <v>43885</v>
      </c>
      <c r="C228" t="str">
        <f t="shared" si="12"/>
        <v>febrero</v>
      </c>
      <c r="D228" t="s">
        <v>13</v>
      </c>
      <c r="E228" t="s">
        <v>55</v>
      </c>
      <c r="G228" t="s">
        <v>255</v>
      </c>
      <c r="H228">
        <v>4</v>
      </c>
      <c r="I228">
        <v>230</v>
      </c>
      <c r="J228" s="9">
        <f t="shared" si="13"/>
        <v>920</v>
      </c>
      <c r="K228" s="9">
        <v>280</v>
      </c>
      <c r="L228" s="9">
        <f t="shared" si="14"/>
        <v>1120</v>
      </c>
      <c r="M228" s="9">
        <f t="shared" si="15"/>
        <v>200</v>
      </c>
    </row>
    <row r="229" spans="1:13" hidden="1" x14ac:dyDescent="0.25">
      <c r="A229">
        <v>117</v>
      </c>
      <c r="B229" s="1">
        <v>43885</v>
      </c>
      <c r="C229" t="str">
        <f t="shared" si="12"/>
        <v>febrero</v>
      </c>
      <c r="D229" t="s">
        <v>13</v>
      </c>
      <c r="E229" t="s">
        <v>55</v>
      </c>
      <c r="G229" t="s">
        <v>256</v>
      </c>
      <c r="H229">
        <v>1</v>
      </c>
      <c r="I229">
        <v>280</v>
      </c>
      <c r="J229" s="9">
        <f t="shared" si="13"/>
        <v>280</v>
      </c>
      <c r="K229" s="9">
        <v>300</v>
      </c>
      <c r="L229" s="9">
        <f t="shared" si="14"/>
        <v>300</v>
      </c>
      <c r="M229" s="9">
        <f t="shared" si="15"/>
        <v>20</v>
      </c>
    </row>
    <row r="230" spans="1:13" hidden="1" x14ac:dyDescent="0.25">
      <c r="A230">
        <v>118</v>
      </c>
      <c r="B230" s="1">
        <v>43885</v>
      </c>
      <c r="C230" t="str">
        <f t="shared" si="12"/>
        <v>febrero</v>
      </c>
      <c r="D230" t="s">
        <v>13</v>
      </c>
      <c r="E230" t="s">
        <v>55</v>
      </c>
      <c r="G230" t="s">
        <v>39</v>
      </c>
      <c r="H230">
        <v>1</v>
      </c>
      <c r="I230">
        <v>280</v>
      </c>
      <c r="J230" s="9">
        <f t="shared" si="13"/>
        <v>280</v>
      </c>
      <c r="K230" s="9">
        <v>300</v>
      </c>
      <c r="L230" s="9">
        <f t="shared" si="14"/>
        <v>300</v>
      </c>
      <c r="M230" s="9">
        <f t="shared" si="15"/>
        <v>20</v>
      </c>
    </row>
    <row r="231" spans="1:13" hidden="1" x14ac:dyDescent="0.25">
      <c r="A231">
        <v>119</v>
      </c>
      <c r="B231" s="1">
        <v>43886</v>
      </c>
      <c r="C231" t="str">
        <f t="shared" si="12"/>
        <v>febrero</v>
      </c>
      <c r="D231" t="s">
        <v>13</v>
      </c>
      <c r="E231" t="s">
        <v>55</v>
      </c>
      <c r="G231" t="s">
        <v>108</v>
      </c>
      <c r="H231">
        <v>2</v>
      </c>
      <c r="I231">
        <v>280</v>
      </c>
      <c r="J231" s="9">
        <f t="shared" si="13"/>
        <v>560</v>
      </c>
      <c r="K231" s="9">
        <v>300</v>
      </c>
      <c r="L231" s="9">
        <f t="shared" si="14"/>
        <v>600</v>
      </c>
      <c r="M231" s="9">
        <f t="shared" si="15"/>
        <v>40</v>
      </c>
    </row>
    <row r="232" spans="1:13" hidden="1" x14ac:dyDescent="0.25">
      <c r="A232">
        <v>120</v>
      </c>
      <c r="B232" s="1">
        <v>43886</v>
      </c>
      <c r="C232" t="str">
        <f t="shared" si="12"/>
        <v>febrero</v>
      </c>
      <c r="D232" t="s">
        <v>13</v>
      </c>
      <c r="E232" t="s">
        <v>55</v>
      </c>
      <c r="G232" t="s">
        <v>257</v>
      </c>
      <c r="H232">
        <v>1</v>
      </c>
      <c r="I232">
        <v>280</v>
      </c>
      <c r="J232" s="9">
        <f t="shared" si="13"/>
        <v>280</v>
      </c>
      <c r="K232" s="9">
        <v>300</v>
      </c>
      <c r="L232" s="9">
        <f t="shared" si="14"/>
        <v>300</v>
      </c>
      <c r="M232" s="9">
        <f t="shared" si="15"/>
        <v>20</v>
      </c>
    </row>
    <row r="233" spans="1:13" hidden="1" x14ac:dyDescent="0.25">
      <c r="A233">
        <v>121</v>
      </c>
      <c r="B233" s="1">
        <v>43886</v>
      </c>
      <c r="C233" t="str">
        <f t="shared" si="12"/>
        <v>febrero</v>
      </c>
      <c r="D233" t="s">
        <v>13</v>
      </c>
      <c r="E233" t="s">
        <v>55</v>
      </c>
      <c r="G233" t="s">
        <v>22</v>
      </c>
      <c r="H233">
        <v>2.82</v>
      </c>
      <c r="I233">
        <v>280</v>
      </c>
      <c r="J233" s="9">
        <f t="shared" si="13"/>
        <v>789.59999999999991</v>
      </c>
      <c r="K233" s="9">
        <v>300</v>
      </c>
      <c r="L233" s="9">
        <f t="shared" si="14"/>
        <v>846</v>
      </c>
      <c r="M233" s="9">
        <f t="shared" si="15"/>
        <v>56.400000000000091</v>
      </c>
    </row>
    <row r="234" spans="1:13" hidden="1" x14ac:dyDescent="0.25">
      <c r="A234">
        <v>122</v>
      </c>
      <c r="B234" s="1">
        <v>43886</v>
      </c>
      <c r="C234" t="str">
        <f t="shared" si="12"/>
        <v>febrero</v>
      </c>
      <c r="D234" t="s">
        <v>13</v>
      </c>
      <c r="E234" t="s">
        <v>55</v>
      </c>
      <c r="G234" t="s">
        <v>14</v>
      </c>
      <c r="H234">
        <v>1</v>
      </c>
      <c r="I234">
        <v>280</v>
      </c>
      <c r="J234" s="9">
        <f t="shared" si="13"/>
        <v>280</v>
      </c>
      <c r="K234" s="9">
        <v>300</v>
      </c>
      <c r="L234" s="9">
        <f t="shared" si="14"/>
        <v>300</v>
      </c>
      <c r="M234" s="9">
        <f t="shared" si="15"/>
        <v>20</v>
      </c>
    </row>
    <row r="235" spans="1:13" hidden="1" x14ac:dyDescent="0.25">
      <c r="A235">
        <v>123</v>
      </c>
      <c r="B235" s="1">
        <v>43887</v>
      </c>
      <c r="C235" t="str">
        <f t="shared" si="12"/>
        <v>febrero</v>
      </c>
      <c r="D235" t="s">
        <v>13</v>
      </c>
      <c r="E235" t="s">
        <v>55</v>
      </c>
      <c r="G235" t="s">
        <v>22</v>
      </c>
      <c r="H235">
        <v>9.8699999999999992</v>
      </c>
      <c r="I235">
        <v>280</v>
      </c>
      <c r="J235" s="9">
        <f t="shared" si="13"/>
        <v>2763.6</v>
      </c>
      <c r="K235" s="9">
        <v>300</v>
      </c>
      <c r="L235" s="9">
        <f t="shared" si="14"/>
        <v>2960.9999999999995</v>
      </c>
      <c r="M235" s="9">
        <f t="shared" si="15"/>
        <v>197.39999999999964</v>
      </c>
    </row>
    <row r="236" spans="1:13" hidden="1" x14ac:dyDescent="0.25">
      <c r="A236">
        <v>124</v>
      </c>
      <c r="B236" s="1">
        <v>43887</v>
      </c>
      <c r="C236" t="str">
        <f t="shared" si="12"/>
        <v>febrero</v>
      </c>
      <c r="D236" t="s">
        <v>99</v>
      </c>
      <c r="E236" t="s">
        <v>26</v>
      </c>
      <c r="G236" t="s">
        <v>100</v>
      </c>
      <c r="H236">
        <v>1.44</v>
      </c>
      <c r="I236">
        <v>303</v>
      </c>
      <c r="J236" s="9">
        <f t="shared" si="13"/>
        <v>436.32</v>
      </c>
      <c r="K236" s="9">
        <v>380</v>
      </c>
      <c r="L236" s="9">
        <f t="shared" si="14"/>
        <v>547.19999999999993</v>
      </c>
      <c r="M236" s="9">
        <f t="shared" si="15"/>
        <v>110.87999999999994</v>
      </c>
    </row>
    <row r="237" spans="1:13" hidden="1" x14ac:dyDescent="0.25">
      <c r="A237">
        <v>125</v>
      </c>
      <c r="B237" s="1">
        <v>43887</v>
      </c>
      <c r="C237" t="str">
        <f t="shared" si="12"/>
        <v>febrero</v>
      </c>
      <c r="D237" t="s">
        <v>99</v>
      </c>
      <c r="E237" t="s">
        <v>26</v>
      </c>
      <c r="G237" t="s">
        <v>101</v>
      </c>
      <c r="H237">
        <v>4.32</v>
      </c>
      <c r="I237">
        <v>353</v>
      </c>
      <c r="J237" s="9">
        <f t="shared" si="13"/>
        <v>1524.96</v>
      </c>
      <c r="K237" s="9">
        <v>400</v>
      </c>
      <c r="L237" s="9">
        <f t="shared" si="14"/>
        <v>1728</v>
      </c>
      <c r="M237" s="9">
        <f t="shared" si="15"/>
        <v>203.03999999999996</v>
      </c>
    </row>
    <row r="238" spans="1:13" hidden="1" x14ac:dyDescent="0.25">
      <c r="A238">
        <v>126</v>
      </c>
      <c r="B238" s="1">
        <v>43888</v>
      </c>
      <c r="C238" t="str">
        <f t="shared" si="12"/>
        <v>febrero</v>
      </c>
      <c r="D238" t="s">
        <v>13</v>
      </c>
      <c r="E238" t="s">
        <v>15</v>
      </c>
      <c r="G238" t="s">
        <v>104</v>
      </c>
      <c r="H238">
        <v>77.14</v>
      </c>
      <c r="I238">
        <v>280</v>
      </c>
      <c r="J238" s="9">
        <f t="shared" si="13"/>
        <v>21599.200000000001</v>
      </c>
      <c r="K238" s="9">
        <v>300</v>
      </c>
      <c r="L238" s="9">
        <f t="shared" si="14"/>
        <v>23142</v>
      </c>
      <c r="M238" s="9">
        <f t="shared" si="15"/>
        <v>1542.7999999999993</v>
      </c>
    </row>
    <row r="239" spans="1:13" hidden="1" x14ac:dyDescent="0.25">
      <c r="A239">
        <v>127</v>
      </c>
      <c r="B239" s="1">
        <v>43889</v>
      </c>
      <c r="C239" t="str">
        <f t="shared" si="12"/>
        <v>febrero</v>
      </c>
      <c r="D239" t="s">
        <v>13</v>
      </c>
      <c r="E239" t="s">
        <v>15</v>
      </c>
      <c r="G239" t="s">
        <v>17</v>
      </c>
      <c r="H239">
        <v>3.66</v>
      </c>
      <c r="I239">
        <v>330</v>
      </c>
      <c r="J239" s="9">
        <f t="shared" si="13"/>
        <v>1207.8</v>
      </c>
      <c r="K239" s="9">
        <v>360</v>
      </c>
      <c r="L239" s="9">
        <f t="shared" si="14"/>
        <v>1317.6000000000001</v>
      </c>
      <c r="M239" s="9">
        <f t="shared" si="15"/>
        <v>109.80000000000018</v>
      </c>
    </row>
    <row r="240" spans="1:13" hidden="1" x14ac:dyDescent="0.25">
      <c r="A240">
        <v>128</v>
      </c>
      <c r="B240" s="1">
        <v>43889</v>
      </c>
      <c r="C240" t="str">
        <f t="shared" si="12"/>
        <v>febrero</v>
      </c>
      <c r="D240" t="s">
        <v>13</v>
      </c>
      <c r="E240" t="s">
        <v>15</v>
      </c>
      <c r="G240" t="s">
        <v>21</v>
      </c>
      <c r="H240">
        <v>2.66</v>
      </c>
      <c r="I240">
        <v>280</v>
      </c>
      <c r="J240" s="9">
        <f t="shared" si="13"/>
        <v>744.80000000000007</v>
      </c>
      <c r="K240" s="9">
        <v>300</v>
      </c>
      <c r="L240" s="9">
        <f t="shared" si="14"/>
        <v>798</v>
      </c>
      <c r="M240" s="9">
        <f t="shared" si="15"/>
        <v>53.199999999999932</v>
      </c>
    </row>
    <row r="241" spans="1:13" hidden="1" x14ac:dyDescent="0.25">
      <c r="A241">
        <v>129</v>
      </c>
      <c r="B241" s="1">
        <v>43889</v>
      </c>
      <c r="C241" t="str">
        <f t="shared" si="12"/>
        <v>febrero</v>
      </c>
      <c r="D241" t="s">
        <v>13</v>
      </c>
      <c r="E241" t="s">
        <v>55</v>
      </c>
      <c r="G241" t="s">
        <v>277</v>
      </c>
      <c r="H241">
        <v>2</v>
      </c>
      <c r="I241">
        <v>280</v>
      </c>
      <c r="J241" s="9">
        <f t="shared" si="13"/>
        <v>560</v>
      </c>
      <c r="K241" s="9">
        <v>300</v>
      </c>
      <c r="L241" s="9">
        <f t="shared" si="14"/>
        <v>600</v>
      </c>
      <c r="M241" s="9">
        <f t="shared" si="15"/>
        <v>40</v>
      </c>
    </row>
    <row r="242" spans="1:13" hidden="1" x14ac:dyDescent="0.25">
      <c r="A242">
        <v>130</v>
      </c>
      <c r="B242" s="1">
        <v>43890</v>
      </c>
      <c r="C242" t="str">
        <f t="shared" si="12"/>
        <v>febrero</v>
      </c>
      <c r="D242" t="s">
        <v>13</v>
      </c>
      <c r="E242" t="s">
        <v>15</v>
      </c>
      <c r="G242" t="s">
        <v>106</v>
      </c>
      <c r="H242">
        <v>1.33</v>
      </c>
      <c r="I242">
        <v>280</v>
      </c>
      <c r="J242" s="9">
        <f t="shared" si="13"/>
        <v>372.40000000000003</v>
      </c>
      <c r="K242" s="9">
        <v>300</v>
      </c>
      <c r="L242" s="9">
        <f t="shared" si="14"/>
        <v>399</v>
      </c>
      <c r="M242" s="9">
        <f t="shared" si="15"/>
        <v>26.599999999999966</v>
      </c>
    </row>
    <row r="243" spans="1:13" hidden="1" x14ac:dyDescent="0.25">
      <c r="A243">
        <v>1</v>
      </c>
      <c r="B243" s="1">
        <v>43892</v>
      </c>
      <c r="C243" t="str">
        <f t="shared" si="12"/>
        <v>marzo</v>
      </c>
      <c r="D243" t="s">
        <v>13</v>
      </c>
      <c r="E243" t="s">
        <v>55</v>
      </c>
      <c r="G243" t="s">
        <v>277</v>
      </c>
      <c r="H243">
        <v>3</v>
      </c>
      <c r="I243">
        <v>280</v>
      </c>
      <c r="J243" s="9">
        <f t="shared" si="13"/>
        <v>840</v>
      </c>
      <c r="K243" s="9">
        <v>300</v>
      </c>
      <c r="L243" s="9">
        <f t="shared" si="14"/>
        <v>900</v>
      </c>
      <c r="M243" s="9">
        <f t="shared" si="15"/>
        <v>60</v>
      </c>
    </row>
    <row r="244" spans="1:13" hidden="1" x14ac:dyDescent="0.25">
      <c r="A244">
        <v>2</v>
      </c>
      <c r="B244" s="1">
        <v>43892</v>
      </c>
      <c r="C244" t="str">
        <f t="shared" si="12"/>
        <v>marzo</v>
      </c>
      <c r="D244" t="s">
        <v>13</v>
      </c>
      <c r="E244" t="s">
        <v>55</v>
      </c>
      <c r="G244" t="s">
        <v>277</v>
      </c>
      <c r="H244">
        <v>4</v>
      </c>
      <c r="I244">
        <v>280</v>
      </c>
      <c r="J244" s="9">
        <f t="shared" si="13"/>
        <v>1120</v>
      </c>
      <c r="K244" s="9">
        <v>300</v>
      </c>
      <c r="L244" s="9">
        <f t="shared" si="14"/>
        <v>1200</v>
      </c>
      <c r="M244" s="9">
        <f t="shared" si="15"/>
        <v>80</v>
      </c>
    </row>
    <row r="245" spans="1:13" hidden="1" x14ac:dyDescent="0.25">
      <c r="A245">
        <v>3</v>
      </c>
      <c r="B245" s="1">
        <v>43893</v>
      </c>
      <c r="C245" t="str">
        <f t="shared" si="12"/>
        <v>marzo</v>
      </c>
      <c r="D245" t="s">
        <v>13</v>
      </c>
      <c r="E245" t="s">
        <v>55</v>
      </c>
      <c r="G245" t="s">
        <v>39</v>
      </c>
      <c r="H245">
        <v>1</v>
      </c>
      <c r="I245">
        <v>280</v>
      </c>
      <c r="J245" s="9">
        <f t="shared" si="13"/>
        <v>280</v>
      </c>
      <c r="K245" s="9">
        <v>300</v>
      </c>
      <c r="L245" s="9">
        <f t="shared" si="14"/>
        <v>300</v>
      </c>
      <c r="M245" s="9">
        <f t="shared" si="15"/>
        <v>20</v>
      </c>
    </row>
    <row r="246" spans="1:13" hidden="1" x14ac:dyDescent="0.25">
      <c r="A246">
        <v>4</v>
      </c>
      <c r="B246" s="1">
        <v>43893</v>
      </c>
      <c r="C246" t="str">
        <f t="shared" si="12"/>
        <v>marzo</v>
      </c>
      <c r="D246" t="s">
        <v>13</v>
      </c>
      <c r="E246" t="s">
        <v>55</v>
      </c>
      <c r="G246" t="s">
        <v>277</v>
      </c>
      <c r="H246">
        <v>1</v>
      </c>
      <c r="I246">
        <v>280</v>
      </c>
      <c r="J246" s="9">
        <f t="shared" si="13"/>
        <v>280</v>
      </c>
      <c r="K246" s="9">
        <v>300</v>
      </c>
      <c r="L246" s="9">
        <f t="shared" si="14"/>
        <v>300</v>
      </c>
      <c r="M246" s="9">
        <f t="shared" si="15"/>
        <v>20</v>
      </c>
    </row>
    <row r="247" spans="1:13" hidden="1" x14ac:dyDescent="0.25">
      <c r="A247">
        <v>5</v>
      </c>
      <c r="B247" s="1">
        <v>43893</v>
      </c>
      <c r="C247" t="str">
        <f t="shared" si="12"/>
        <v>marzo</v>
      </c>
      <c r="D247" t="s">
        <v>13</v>
      </c>
      <c r="E247" t="s">
        <v>55</v>
      </c>
      <c r="G247" t="s">
        <v>22</v>
      </c>
      <c r="H247">
        <v>7.05</v>
      </c>
      <c r="I247">
        <v>280</v>
      </c>
      <c r="J247" s="9">
        <f t="shared" si="13"/>
        <v>1974</v>
      </c>
      <c r="K247" s="9">
        <v>300</v>
      </c>
      <c r="L247" s="9">
        <f t="shared" si="14"/>
        <v>2115</v>
      </c>
      <c r="M247" s="9">
        <f t="shared" si="15"/>
        <v>141</v>
      </c>
    </row>
    <row r="248" spans="1:13" hidden="1" x14ac:dyDescent="0.25">
      <c r="A248">
        <v>6</v>
      </c>
      <c r="B248" s="1">
        <v>43894</v>
      </c>
      <c r="C248" t="str">
        <f t="shared" si="12"/>
        <v>marzo</v>
      </c>
      <c r="D248" t="s">
        <v>167</v>
      </c>
      <c r="E248" t="s">
        <v>55</v>
      </c>
      <c r="G248" t="s">
        <v>22</v>
      </c>
      <c r="H248">
        <v>30.03</v>
      </c>
      <c r="I248">
        <v>268</v>
      </c>
      <c r="J248" s="9">
        <f t="shared" si="13"/>
        <v>8048.04</v>
      </c>
      <c r="K248">
        <v>300</v>
      </c>
      <c r="L248" s="9">
        <f t="shared" si="14"/>
        <v>9009</v>
      </c>
      <c r="M248" s="9">
        <f t="shared" si="15"/>
        <v>960.96</v>
      </c>
    </row>
    <row r="249" spans="1:13" hidden="1" x14ac:dyDescent="0.25">
      <c r="A249">
        <v>7</v>
      </c>
      <c r="B249" s="1">
        <v>43894</v>
      </c>
      <c r="C249" t="str">
        <f t="shared" si="12"/>
        <v>marzo</v>
      </c>
      <c r="D249" t="s">
        <v>167</v>
      </c>
      <c r="E249" t="s">
        <v>55</v>
      </c>
      <c r="G249" t="s">
        <v>277</v>
      </c>
      <c r="H249">
        <v>10</v>
      </c>
      <c r="I249">
        <v>268</v>
      </c>
      <c r="J249" s="9">
        <f t="shared" si="13"/>
        <v>2680</v>
      </c>
      <c r="K249">
        <v>300</v>
      </c>
      <c r="L249" s="9">
        <f t="shared" si="14"/>
        <v>3000</v>
      </c>
      <c r="M249" s="9">
        <f t="shared" si="15"/>
        <v>320</v>
      </c>
    </row>
    <row r="250" spans="1:13" hidden="1" x14ac:dyDescent="0.25">
      <c r="A250">
        <v>8</v>
      </c>
      <c r="B250" s="1">
        <v>43894</v>
      </c>
      <c r="C250" t="str">
        <f t="shared" si="12"/>
        <v>marzo</v>
      </c>
      <c r="D250" t="s">
        <v>167</v>
      </c>
      <c r="E250" t="s">
        <v>55</v>
      </c>
      <c r="G250" t="s">
        <v>39</v>
      </c>
      <c r="H250">
        <v>11.32</v>
      </c>
      <c r="I250">
        <v>268</v>
      </c>
      <c r="J250" s="9">
        <f t="shared" si="13"/>
        <v>3033.76</v>
      </c>
      <c r="K250">
        <v>300</v>
      </c>
      <c r="L250" s="9">
        <f t="shared" si="14"/>
        <v>3396</v>
      </c>
      <c r="M250" s="9">
        <f t="shared" si="15"/>
        <v>362.23999999999978</v>
      </c>
    </row>
    <row r="251" spans="1:13" hidden="1" x14ac:dyDescent="0.25">
      <c r="A251">
        <v>9</v>
      </c>
      <c r="B251" s="1">
        <v>43894</v>
      </c>
      <c r="C251" t="str">
        <f t="shared" si="12"/>
        <v>marzo</v>
      </c>
      <c r="D251" t="s">
        <v>167</v>
      </c>
      <c r="E251" t="s">
        <v>55</v>
      </c>
      <c r="G251" t="s">
        <v>277</v>
      </c>
      <c r="H251">
        <v>10</v>
      </c>
      <c r="I251">
        <v>268</v>
      </c>
      <c r="J251" s="9">
        <f t="shared" si="13"/>
        <v>2680</v>
      </c>
      <c r="K251">
        <v>300</v>
      </c>
      <c r="L251" s="9">
        <f t="shared" si="14"/>
        <v>3000</v>
      </c>
      <c r="M251" s="9">
        <f t="shared" si="15"/>
        <v>320</v>
      </c>
    </row>
    <row r="252" spans="1:13" hidden="1" x14ac:dyDescent="0.25">
      <c r="A252">
        <v>10</v>
      </c>
      <c r="B252" s="1">
        <v>43894</v>
      </c>
      <c r="C252" t="str">
        <f t="shared" si="12"/>
        <v>marzo</v>
      </c>
      <c r="D252" t="s">
        <v>167</v>
      </c>
      <c r="E252" t="s">
        <v>55</v>
      </c>
      <c r="G252" t="s">
        <v>97</v>
      </c>
      <c r="H252">
        <v>10</v>
      </c>
      <c r="I252">
        <v>207</v>
      </c>
      <c r="J252" s="9">
        <f t="shared" si="13"/>
        <v>2070</v>
      </c>
      <c r="K252">
        <v>280</v>
      </c>
      <c r="L252" s="9">
        <f t="shared" si="14"/>
        <v>2800</v>
      </c>
      <c r="M252" s="9">
        <f t="shared" si="15"/>
        <v>730</v>
      </c>
    </row>
    <row r="253" spans="1:13" hidden="1" x14ac:dyDescent="0.25">
      <c r="A253">
        <v>11</v>
      </c>
      <c r="B253" s="1">
        <v>43894</v>
      </c>
      <c r="C253" t="str">
        <f t="shared" si="12"/>
        <v>marzo</v>
      </c>
      <c r="D253" t="s">
        <v>167</v>
      </c>
      <c r="E253" t="s">
        <v>85</v>
      </c>
      <c r="G253" t="s">
        <v>283</v>
      </c>
      <c r="H253">
        <v>2</v>
      </c>
      <c r="I253">
        <v>780</v>
      </c>
      <c r="J253" s="9">
        <f t="shared" si="13"/>
        <v>1560</v>
      </c>
      <c r="L253" s="9">
        <f t="shared" si="14"/>
        <v>0</v>
      </c>
      <c r="M253" s="9"/>
    </row>
    <row r="254" spans="1:13" hidden="1" x14ac:dyDescent="0.25">
      <c r="A254">
        <v>12</v>
      </c>
      <c r="B254" s="1">
        <v>43894</v>
      </c>
      <c r="C254" t="str">
        <f t="shared" si="12"/>
        <v>marzo</v>
      </c>
      <c r="D254" t="s">
        <v>167</v>
      </c>
      <c r="E254" t="s">
        <v>78</v>
      </c>
      <c r="G254" t="s">
        <v>281</v>
      </c>
      <c r="H254">
        <v>2</v>
      </c>
      <c r="I254">
        <v>1305</v>
      </c>
      <c r="J254" s="9">
        <f t="shared" si="13"/>
        <v>2610</v>
      </c>
      <c r="K254">
        <v>1550</v>
      </c>
      <c r="L254" s="9">
        <f t="shared" si="14"/>
        <v>3100</v>
      </c>
      <c r="M254" s="9">
        <f t="shared" ref="M254:M285" si="16">+L254-J254</f>
        <v>490</v>
      </c>
    </row>
    <row r="255" spans="1:13" hidden="1" x14ac:dyDescent="0.25">
      <c r="A255">
        <v>13</v>
      </c>
      <c r="B255" s="1">
        <v>43894</v>
      </c>
      <c r="C255" t="str">
        <f t="shared" si="12"/>
        <v>marzo</v>
      </c>
      <c r="D255" t="s">
        <v>167</v>
      </c>
      <c r="E255" t="s">
        <v>78</v>
      </c>
      <c r="G255" t="s">
        <v>79</v>
      </c>
      <c r="H255">
        <v>2</v>
      </c>
      <c r="I255">
        <v>1330</v>
      </c>
      <c r="J255" s="9">
        <f t="shared" si="13"/>
        <v>2660</v>
      </c>
      <c r="K255">
        <v>1550</v>
      </c>
      <c r="L255" s="9">
        <f t="shared" si="14"/>
        <v>3100</v>
      </c>
      <c r="M255" s="9">
        <f t="shared" si="16"/>
        <v>440</v>
      </c>
    </row>
    <row r="256" spans="1:13" hidden="1" x14ac:dyDescent="0.25">
      <c r="A256">
        <v>14</v>
      </c>
      <c r="B256" s="1">
        <v>43894</v>
      </c>
      <c r="C256" t="str">
        <f t="shared" si="12"/>
        <v>marzo</v>
      </c>
      <c r="D256" t="s">
        <v>167</v>
      </c>
      <c r="E256" t="s">
        <v>55</v>
      </c>
      <c r="G256" t="s">
        <v>14</v>
      </c>
      <c r="H256">
        <v>21.24</v>
      </c>
      <c r="I256">
        <v>268</v>
      </c>
      <c r="J256" s="9">
        <f t="shared" si="13"/>
        <v>5692.32</v>
      </c>
      <c r="K256">
        <v>300</v>
      </c>
      <c r="L256" s="9">
        <f t="shared" si="14"/>
        <v>6371.9999999999991</v>
      </c>
      <c r="M256" s="9">
        <f t="shared" si="16"/>
        <v>679.67999999999938</v>
      </c>
    </row>
    <row r="257" spans="1:13" hidden="1" x14ac:dyDescent="0.25">
      <c r="A257">
        <v>15</v>
      </c>
      <c r="B257" s="1">
        <v>43894</v>
      </c>
      <c r="C257" t="str">
        <f t="shared" si="12"/>
        <v>marzo</v>
      </c>
      <c r="D257" t="s">
        <v>167</v>
      </c>
      <c r="E257" t="s">
        <v>70</v>
      </c>
      <c r="G257" t="s">
        <v>284</v>
      </c>
      <c r="H257">
        <v>1</v>
      </c>
      <c r="I257">
        <v>1672</v>
      </c>
      <c r="J257" s="9">
        <f t="shared" si="13"/>
        <v>1672</v>
      </c>
      <c r="K257">
        <v>1900</v>
      </c>
      <c r="L257" s="9">
        <f t="shared" si="14"/>
        <v>1900</v>
      </c>
      <c r="M257" s="9">
        <f t="shared" si="16"/>
        <v>228</v>
      </c>
    </row>
    <row r="258" spans="1:13" hidden="1" x14ac:dyDescent="0.25">
      <c r="A258">
        <v>16</v>
      </c>
      <c r="B258" s="1">
        <v>43894</v>
      </c>
      <c r="C258" t="str">
        <f t="shared" ref="C258:C321" si="17">+TEXT(B258,"mmmm")</f>
        <v>marzo</v>
      </c>
      <c r="D258" t="s">
        <v>167</v>
      </c>
      <c r="E258" t="s">
        <v>15</v>
      </c>
      <c r="G258" t="s">
        <v>271</v>
      </c>
      <c r="H258">
        <v>2.66</v>
      </c>
      <c r="I258">
        <v>268</v>
      </c>
      <c r="J258" s="9">
        <f t="shared" ref="J258:J321" si="18">+H258*I258</f>
        <v>712.88</v>
      </c>
      <c r="K258">
        <v>300</v>
      </c>
      <c r="L258" s="9">
        <f t="shared" ref="L258:L321" si="19">+H258*K258</f>
        <v>798</v>
      </c>
      <c r="M258" s="9">
        <f t="shared" si="16"/>
        <v>85.12</v>
      </c>
    </row>
    <row r="259" spans="1:13" hidden="1" x14ac:dyDescent="0.25">
      <c r="A259">
        <v>17</v>
      </c>
      <c r="B259" s="1">
        <v>43894</v>
      </c>
      <c r="C259" t="str">
        <f t="shared" si="17"/>
        <v>marzo</v>
      </c>
      <c r="D259" t="s">
        <v>167</v>
      </c>
      <c r="E259" t="s">
        <v>55</v>
      </c>
      <c r="G259" t="s">
        <v>228</v>
      </c>
      <c r="H259">
        <v>10</v>
      </c>
      <c r="I259">
        <v>268</v>
      </c>
      <c r="J259" s="9">
        <f t="shared" si="18"/>
        <v>2680</v>
      </c>
      <c r="K259">
        <v>300</v>
      </c>
      <c r="L259" s="9">
        <f t="shared" si="19"/>
        <v>3000</v>
      </c>
      <c r="M259" s="9">
        <f t="shared" si="16"/>
        <v>320</v>
      </c>
    </row>
    <row r="260" spans="1:13" hidden="1" x14ac:dyDescent="0.25">
      <c r="A260">
        <v>18</v>
      </c>
      <c r="B260" s="1">
        <v>43894</v>
      </c>
      <c r="C260" t="str">
        <f t="shared" si="17"/>
        <v>marzo</v>
      </c>
      <c r="D260" t="s">
        <v>167</v>
      </c>
      <c r="E260" t="s">
        <v>55</v>
      </c>
      <c r="G260" t="s">
        <v>285</v>
      </c>
      <c r="H260">
        <v>5</v>
      </c>
      <c r="I260">
        <v>268</v>
      </c>
      <c r="J260" s="9">
        <f t="shared" si="18"/>
        <v>1340</v>
      </c>
      <c r="K260">
        <v>300</v>
      </c>
      <c r="L260" s="9">
        <f t="shared" si="19"/>
        <v>1500</v>
      </c>
      <c r="M260" s="9">
        <f t="shared" si="16"/>
        <v>160</v>
      </c>
    </row>
    <row r="261" spans="1:13" hidden="1" x14ac:dyDescent="0.25">
      <c r="A261">
        <v>19</v>
      </c>
      <c r="B261" s="1">
        <v>43894</v>
      </c>
      <c r="C261" t="str">
        <f t="shared" si="17"/>
        <v>marzo</v>
      </c>
      <c r="D261" t="s">
        <v>167</v>
      </c>
      <c r="E261" t="s">
        <v>70</v>
      </c>
      <c r="G261" t="s">
        <v>286</v>
      </c>
      <c r="H261">
        <v>1</v>
      </c>
      <c r="I261">
        <v>334</v>
      </c>
      <c r="J261" s="9">
        <f t="shared" si="18"/>
        <v>334</v>
      </c>
      <c r="K261">
        <v>400</v>
      </c>
      <c r="L261" s="9">
        <f t="shared" si="19"/>
        <v>400</v>
      </c>
      <c r="M261" s="9">
        <f t="shared" si="16"/>
        <v>66</v>
      </c>
    </row>
    <row r="262" spans="1:13" hidden="1" x14ac:dyDescent="0.25">
      <c r="A262">
        <v>20</v>
      </c>
      <c r="B262" s="1">
        <v>43894</v>
      </c>
      <c r="C262" t="str">
        <f t="shared" si="17"/>
        <v>marzo</v>
      </c>
      <c r="D262" t="s">
        <v>167</v>
      </c>
      <c r="E262" t="s">
        <v>70</v>
      </c>
      <c r="G262" t="s">
        <v>287</v>
      </c>
      <c r="H262">
        <v>1</v>
      </c>
      <c r="I262">
        <v>334</v>
      </c>
      <c r="J262" s="9">
        <f t="shared" si="18"/>
        <v>334</v>
      </c>
      <c r="K262">
        <v>400</v>
      </c>
      <c r="L262" s="9">
        <f t="shared" si="19"/>
        <v>400</v>
      </c>
      <c r="M262" s="9">
        <f t="shared" si="16"/>
        <v>66</v>
      </c>
    </row>
    <row r="263" spans="1:13" hidden="1" x14ac:dyDescent="0.25">
      <c r="A263">
        <v>21</v>
      </c>
      <c r="B263" s="1">
        <v>43894</v>
      </c>
      <c r="C263" t="str">
        <f t="shared" si="17"/>
        <v>marzo</v>
      </c>
      <c r="D263" t="s">
        <v>167</v>
      </c>
      <c r="E263" t="s">
        <v>25</v>
      </c>
      <c r="G263" t="s">
        <v>288</v>
      </c>
      <c r="H263">
        <v>2</v>
      </c>
      <c r="I263">
        <v>55.22</v>
      </c>
      <c r="J263" s="9">
        <f t="shared" si="18"/>
        <v>110.44</v>
      </c>
      <c r="K263">
        <v>100</v>
      </c>
      <c r="L263" s="9">
        <f t="shared" si="19"/>
        <v>200</v>
      </c>
      <c r="M263" s="9">
        <f t="shared" si="16"/>
        <v>89.56</v>
      </c>
    </row>
    <row r="264" spans="1:13" x14ac:dyDescent="0.25">
      <c r="A264">
        <v>22</v>
      </c>
      <c r="B264" s="1">
        <v>43897</v>
      </c>
      <c r="C264" t="str">
        <f t="shared" si="17"/>
        <v>marzo</v>
      </c>
      <c r="D264" t="s">
        <v>163</v>
      </c>
      <c r="E264" t="s">
        <v>15</v>
      </c>
      <c r="G264" t="s">
        <v>80</v>
      </c>
      <c r="H264">
        <v>50</v>
      </c>
      <c r="I264">
        <v>212.69</v>
      </c>
      <c r="J264" s="9">
        <f t="shared" si="18"/>
        <v>10634.5</v>
      </c>
      <c r="K264">
        <v>240</v>
      </c>
      <c r="L264" s="9">
        <f t="shared" si="19"/>
        <v>12000</v>
      </c>
      <c r="M264" s="9">
        <f t="shared" si="16"/>
        <v>1365.5</v>
      </c>
    </row>
    <row r="265" spans="1:13" x14ac:dyDescent="0.25">
      <c r="A265">
        <v>23</v>
      </c>
      <c r="B265" s="1">
        <v>43897</v>
      </c>
      <c r="C265" t="str">
        <f t="shared" si="17"/>
        <v>marzo</v>
      </c>
      <c r="D265" t="s">
        <v>163</v>
      </c>
      <c r="E265" t="s">
        <v>15</v>
      </c>
      <c r="G265" t="s">
        <v>29</v>
      </c>
      <c r="H265">
        <v>100</v>
      </c>
      <c r="I265">
        <v>196.55</v>
      </c>
      <c r="J265" s="9">
        <f t="shared" si="18"/>
        <v>19655</v>
      </c>
      <c r="K265">
        <v>230</v>
      </c>
      <c r="L265" s="9">
        <f t="shared" si="19"/>
        <v>23000</v>
      </c>
      <c r="M265" s="9">
        <f t="shared" si="16"/>
        <v>3345</v>
      </c>
    </row>
    <row r="266" spans="1:13" x14ac:dyDescent="0.25">
      <c r="A266">
        <v>24</v>
      </c>
      <c r="B266" s="1">
        <v>43897</v>
      </c>
      <c r="C266" t="str">
        <f t="shared" si="17"/>
        <v>marzo</v>
      </c>
      <c r="D266" t="s">
        <v>163</v>
      </c>
      <c r="E266" t="s">
        <v>15</v>
      </c>
      <c r="G266" t="s">
        <v>54</v>
      </c>
      <c r="H266">
        <v>100</v>
      </c>
      <c r="I266">
        <v>213.08</v>
      </c>
      <c r="J266" s="9">
        <f t="shared" si="18"/>
        <v>21308</v>
      </c>
      <c r="K266">
        <v>240</v>
      </c>
      <c r="L266" s="9">
        <f t="shared" si="19"/>
        <v>24000</v>
      </c>
      <c r="M266" s="9">
        <f t="shared" si="16"/>
        <v>2692</v>
      </c>
    </row>
    <row r="267" spans="1:13" hidden="1" x14ac:dyDescent="0.25">
      <c r="A267">
        <v>25</v>
      </c>
      <c r="B267" s="1">
        <v>43897</v>
      </c>
      <c r="C267" t="str">
        <f t="shared" si="17"/>
        <v>marzo</v>
      </c>
      <c r="D267" t="s">
        <v>163</v>
      </c>
      <c r="E267" t="s">
        <v>56</v>
      </c>
      <c r="G267" t="s">
        <v>171</v>
      </c>
      <c r="H267">
        <v>80</v>
      </c>
      <c r="I267">
        <v>130.77000000000001</v>
      </c>
      <c r="J267" s="9">
        <f t="shared" si="18"/>
        <v>10461.6</v>
      </c>
      <c r="K267">
        <v>170</v>
      </c>
      <c r="L267" s="9">
        <f t="shared" si="19"/>
        <v>13600</v>
      </c>
      <c r="M267" s="9">
        <f t="shared" si="16"/>
        <v>3138.3999999999996</v>
      </c>
    </row>
    <row r="268" spans="1:13" x14ac:dyDescent="0.25">
      <c r="A268">
        <v>26</v>
      </c>
      <c r="B268" s="1">
        <v>43897</v>
      </c>
      <c r="C268" t="str">
        <f t="shared" si="17"/>
        <v>marzo</v>
      </c>
      <c r="D268" t="s">
        <v>163</v>
      </c>
      <c r="E268" t="s">
        <v>15</v>
      </c>
      <c r="G268" t="s">
        <v>292</v>
      </c>
      <c r="H268">
        <v>50</v>
      </c>
      <c r="I268">
        <v>176.85</v>
      </c>
      <c r="J268" s="9">
        <f t="shared" si="18"/>
        <v>8842.5</v>
      </c>
      <c r="K268">
        <v>230</v>
      </c>
      <c r="L268" s="9">
        <f t="shared" si="19"/>
        <v>11500</v>
      </c>
      <c r="M268" s="9">
        <f t="shared" si="16"/>
        <v>2657.5</v>
      </c>
    </row>
    <row r="269" spans="1:13" x14ac:dyDescent="0.25">
      <c r="A269">
        <v>27</v>
      </c>
      <c r="B269" s="1">
        <v>43897</v>
      </c>
      <c r="C269" t="str">
        <f t="shared" si="17"/>
        <v>marzo</v>
      </c>
      <c r="D269" t="s">
        <v>163</v>
      </c>
      <c r="E269" t="s">
        <v>15</v>
      </c>
      <c r="G269" t="s">
        <v>296</v>
      </c>
      <c r="H269">
        <v>50</v>
      </c>
      <c r="I269">
        <v>176.85</v>
      </c>
      <c r="J269" s="9">
        <f t="shared" si="18"/>
        <v>8842.5</v>
      </c>
      <c r="K269">
        <v>230</v>
      </c>
      <c r="L269" s="9">
        <f t="shared" si="19"/>
        <v>11500</v>
      </c>
      <c r="M269" s="9">
        <f t="shared" si="16"/>
        <v>2657.5</v>
      </c>
    </row>
    <row r="270" spans="1:13" x14ac:dyDescent="0.25">
      <c r="A270">
        <v>28</v>
      </c>
      <c r="B270" s="1">
        <v>43897</v>
      </c>
      <c r="C270" t="str">
        <f t="shared" si="17"/>
        <v>marzo</v>
      </c>
      <c r="D270" t="s">
        <v>163</v>
      </c>
      <c r="E270" t="s">
        <v>15</v>
      </c>
      <c r="G270" t="s">
        <v>295</v>
      </c>
      <c r="H270">
        <v>30</v>
      </c>
      <c r="I270">
        <v>176.85</v>
      </c>
      <c r="J270" s="9">
        <f t="shared" si="18"/>
        <v>5305.5</v>
      </c>
      <c r="K270">
        <v>230</v>
      </c>
      <c r="L270" s="9">
        <f t="shared" si="19"/>
        <v>6900</v>
      </c>
      <c r="M270" s="9">
        <f t="shared" si="16"/>
        <v>1594.5</v>
      </c>
    </row>
    <row r="271" spans="1:13" hidden="1" x14ac:dyDescent="0.25">
      <c r="A271">
        <v>29</v>
      </c>
      <c r="B271" s="1">
        <v>43897</v>
      </c>
      <c r="C271" t="str">
        <f t="shared" si="17"/>
        <v>marzo</v>
      </c>
      <c r="D271" t="s">
        <v>163</v>
      </c>
      <c r="E271" t="s">
        <v>25</v>
      </c>
      <c r="G271" t="s">
        <v>145</v>
      </c>
      <c r="H271">
        <v>4</v>
      </c>
      <c r="I271">
        <v>51.7</v>
      </c>
      <c r="J271" s="9">
        <f t="shared" si="18"/>
        <v>206.8</v>
      </c>
      <c r="K271">
        <v>100</v>
      </c>
      <c r="L271" s="9">
        <f t="shared" si="19"/>
        <v>400</v>
      </c>
      <c r="M271" s="9">
        <f t="shared" si="16"/>
        <v>193.2</v>
      </c>
    </row>
    <row r="272" spans="1:13" hidden="1" x14ac:dyDescent="0.25">
      <c r="A272">
        <v>30</v>
      </c>
      <c r="B272" s="1">
        <v>43897</v>
      </c>
      <c r="C272" t="str">
        <f t="shared" si="17"/>
        <v>marzo</v>
      </c>
      <c r="D272" t="s">
        <v>163</v>
      </c>
      <c r="E272" t="s">
        <v>25</v>
      </c>
      <c r="G272" t="s">
        <v>172</v>
      </c>
      <c r="H272">
        <v>4</v>
      </c>
      <c r="I272">
        <v>51.7</v>
      </c>
      <c r="J272" s="9">
        <f t="shared" si="18"/>
        <v>206.8</v>
      </c>
      <c r="K272">
        <v>100</v>
      </c>
      <c r="L272" s="9">
        <f t="shared" si="19"/>
        <v>400</v>
      </c>
      <c r="M272" s="9">
        <f t="shared" si="16"/>
        <v>193.2</v>
      </c>
    </row>
    <row r="273" spans="1:13" hidden="1" x14ac:dyDescent="0.25">
      <c r="A273">
        <v>31</v>
      </c>
      <c r="B273" s="1">
        <v>43899</v>
      </c>
      <c r="C273" t="str">
        <f t="shared" si="17"/>
        <v>marzo</v>
      </c>
      <c r="D273" t="s">
        <v>27</v>
      </c>
      <c r="E273" t="s">
        <v>56</v>
      </c>
      <c r="G273" t="s">
        <v>278</v>
      </c>
      <c r="H273">
        <v>15</v>
      </c>
      <c r="I273" s="13">
        <f>3022.89/15</f>
        <v>201.52599999999998</v>
      </c>
      <c r="J273" s="9">
        <f t="shared" si="18"/>
        <v>3022.89</v>
      </c>
      <c r="K273" s="9">
        <v>260</v>
      </c>
      <c r="L273" s="9">
        <f t="shared" si="19"/>
        <v>3900</v>
      </c>
      <c r="M273" s="9">
        <f t="shared" si="16"/>
        <v>877.11000000000013</v>
      </c>
    </row>
    <row r="274" spans="1:13" hidden="1" x14ac:dyDescent="0.25">
      <c r="A274">
        <v>32</v>
      </c>
      <c r="B274" s="1">
        <v>43899</v>
      </c>
      <c r="C274" t="str">
        <f t="shared" si="17"/>
        <v>marzo</v>
      </c>
      <c r="D274" t="s">
        <v>99</v>
      </c>
      <c r="E274" t="s">
        <v>26</v>
      </c>
      <c r="G274" t="s">
        <v>100</v>
      </c>
      <c r="H274">
        <v>100.8</v>
      </c>
      <c r="I274" s="13">
        <f>34969.97/100.8</f>
        <v>346.92430555555558</v>
      </c>
      <c r="J274" s="9">
        <f t="shared" si="18"/>
        <v>34969.97</v>
      </c>
      <c r="K274">
        <v>370</v>
      </c>
      <c r="L274" s="9">
        <f t="shared" si="19"/>
        <v>37296</v>
      </c>
      <c r="M274" s="9">
        <f t="shared" si="16"/>
        <v>2326.0299999999988</v>
      </c>
    </row>
    <row r="275" spans="1:13" hidden="1" x14ac:dyDescent="0.25">
      <c r="A275">
        <v>33</v>
      </c>
      <c r="B275" s="1">
        <v>43900</v>
      </c>
      <c r="C275" t="str">
        <f t="shared" si="17"/>
        <v>marzo</v>
      </c>
      <c r="D275" t="s">
        <v>27</v>
      </c>
      <c r="E275" t="s">
        <v>56</v>
      </c>
      <c r="G275" t="s">
        <v>176</v>
      </c>
      <c r="H275">
        <v>11</v>
      </c>
      <c r="I275">
        <f>2216.79/11</f>
        <v>201.52636363636364</v>
      </c>
      <c r="J275" s="9">
        <f t="shared" si="18"/>
        <v>2216.79</v>
      </c>
      <c r="K275">
        <v>260</v>
      </c>
      <c r="L275" s="9">
        <f t="shared" si="19"/>
        <v>2860</v>
      </c>
      <c r="M275" s="9">
        <f t="shared" si="16"/>
        <v>643.21</v>
      </c>
    </row>
    <row r="276" spans="1:13" hidden="1" x14ac:dyDescent="0.25">
      <c r="A276">
        <v>34</v>
      </c>
      <c r="B276" s="1">
        <v>43900</v>
      </c>
      <c r="C276" t="str">
        <f t="shared" si="17"/>
        <v>marzo</v>
      </c>
      <c r="D276" t="s">
        <v>27</v>
      </c>
      <c r="E276" t="s">
        <v>56</v>
      </c>
      <c r="G276" t="s">
        <v>176</v>
      </c>
      <c r="H276">
        <v>9</v>
      </c>
      <c r="I276">
        <f>2216.79/11</f>
        <v>201.52636363636364</v>
      </c>
      <c r="J276" s="9">
        <f t="shared" si="18"/>
        <v>1813.7372727272727</v>
      </c>
      <c r="K276">
        <v>260</v>
      </c>
      <c r="L276" s="9">
        <f t="shared" si="19"/>
        <v>2340</v>
      </c>
      <c r="M276" s="9">
        <f t="shared" si="16"/>
        <v>526.26272727272726</v>
      </c>
    </row>
    <row r="277" spans="1:13" hidden="1" x14ac:dyDescent="0.25">
      <c r="A277">
        <v>35</v>
      </c>
      <c r="B277" s="1">
        <v>43902</v>
      </c>
      <c r="C277" t="str">
        <f t="shared" si="17"/>
        <v>marzo</v>
      </c>
      <c r="D277" t="s">
        <v>13</v>
      </c>
      <c r="E277" t="s">
        <v>15</v>
      </c>
      <c r="G277" t="s">
        <v>106</v>
      </c>
      <c r="H277">
        <v>19.95</v>
      </c>
      <c r="I277">
        <v>280</v>
      </c>
      <c r="J277" s="9">
        <f t="shared" si="18"/>
        <v>5586</v>
      </c>
      <c r="K277">
        <v>300</v>
      </c>
      <c r="L277" s="9">
        <f t="shared" si="19"/>
        <v>5985</v>
      </c>
      <c r="M277" s="9">
        <f t="shared" si="16"/>
        <v>399</v>
      </c>
    </row>
    <row r="278" spans="1:13" hidden="1" x14ac:dyDescent="0.25">
      <c r="A278">
        <v>36</v>
      </c>
      <c r="B278" s="1">
        <v>43903</v>
      </c>
      <c r="C278" t="str">
        <f t="shared" si="17"/>
        <v>marzo</v>
      </c>
      <c r="D278" t="s">
        <v>13</v>
      </c>
      <c r="E278" t="s">
        <v>15</v>
      </c>
      <c r="G278" t="s">
        <v>17</v>
      </c>
      <c r="H278">
        <v>6.1</v>
      </c>
      <c r="I278">
        <v>330</v>
      </c>
      <c r="J278" s="9">
        <f t="shared" si="18"/>
        <v>2012.9999999999998</v>
      </c>
      <c r="K278">
        <v>360</v>
      </c>
      <c r="L278" s="9">
        <f t="shared" si="19"/>
        <v>2196</v>
      </c>
      <c r="M278" s="9">
        <f t="shared" si="16"/>
        <v>183.00000000000023</v>
      </c>
    </row>
    <row r="279" spans="1:13" x14ac:dyDescent="0.25">
      <c r="A279">
        <v>37</v>
      </c>
      <c r="B279" s="1">
        <v>43903</v>
      </c>
      <c r="C279" t="str">
        <f t="shared" si="17"/>
        <v>marzo</v>
      </c>
      <c r="D279" t="s">
        <v>163</v>
      </c>
      <c r="E279" t="s">
        <v>15</v>
      </c>
      <c r="G279" t="s">
        <v>80</v>
      </c>
      <c r="H279">
        <v>100</v>
      </c>
      <c r="I279">
        <v>212.69</v>
      </c>
      <c r="J279" s="9">
        <f t="shared" si="18"/>
        <v>21269</v>
      </c>
      <c r="K279">
        <v>240</v>
      </c>
      <c r="L279" s="9">
        <f t="shared" si="19"/>
        <v>24000</v>
      </c>
      <c r="M279" s="9">
        <f t="shared" si="16"/>
        <v>2731</v>
      </c>
    </row>
    <row r="280" spans="1:13" hidden="1" x14ac:dyDescent="0.25">
      <c r="A280">
        <v>38</v>
      </c>
      <c r="B280" s="1">
        <v>43903</v>
      </c>
      <c r="C280" t="str">
        <f t="shared" si="17"/>
        <v>marzo</v>
      </c>
      <c r="D280" t="s">
        <v>163</v>
      </c>
      <c r="E280" t="s">
        <v>56</v>
      </c>
      <c r="G280" t="s">
        <v>171</v>
      </c>
      <c r="H280">
        <v>26</v>
      </c>
      <c r="I280">
        <v>120.7</v>
      </c>
      <c r="J280" s="9">
        <f t="shared" si="18"/>
        <v>3138.2000000000003</v>
      </c>
      <c r="K280">
        <v>170</v>
      </c>
      <c r="L280" s="9">
        <f t="shared" si="19"/>
        <v>4420</v>
      </c>
      <c r="M280" s="9">
        <f t="shared" si="16"/>
        <v>1281.7999999999997</v>
      </c>
    </row>
    <row r="281" spans="1:13" hidden="1" x14ac:dyDescent="0.25">
      <c r="A281">
        <v>39</v>
      </c>
      <c r="B281" s="1">
        <v>43903</v>
      </c>
      <c r="C281" t="str">
        <f t="shared" si="17"/>
        <v>marzo</v>
      </c>
      <c r="D281" t="s">
        <v>163</v>
      </c>
      <c r="E281" t="s">
        <v>56</v>
      </c>
      <c r="G281" t="s">
        <v>176</v>
      </c>
      <c r="H281">
        <v>13</v>
      </c>
      <c r="I281">
        <v>185.05</v>
      </c>
      <c r="J281" s="9">
        <f t="shared" si="18"/>
        <v>2405.65</v>
      </c>
      <c r="K281">
        <v>260</v>
      </c>
      <c r="L281" s="9">
        <f t="shared" si="19"/>
        <v>3380</v>
      </c>
      <c r="M281" s="9">
        <f t="shared" si="16"/>
        <v>974.34999999999991</v>
      </c>
    </row>
    <row r="282" spans="1:13" x14ac:dyDescent="0.25">
      <c r="A282">
        <v>40</v>
      </c>
      <c r="B282" s="1">
        <v>43903</v>
      </c>
      <c r="C282" t="str">
        <f t="shared" si="17"/>
        <v>marzo</v>
      </c>
      <c r="D282" t="s">
        <v>163</v>
      </c>
      <c r="E282" t="s">
        <v>15</v>
      </c>
      <c r="G282" t="s">
        <v>31</v>
      </c>
      <c r="H282">
        <v>10</v>
      </c>
      <c r="I282">
        <v>215.06</v>
      </c>
      <c r="J282" s="9">
        <f t="shared" si="18"/>
        <v>2150.6</v>
      </c>
      <c r="K282">
        <v>280</v>
      </c>
      <c r="L282" s="9">
        <f t="shared" si="19"/>
        <v>2800</v>
      </c>
      <c r="M282" s="9">
        <f t="shared" si="16"/>
        <v>649.40000000000009</v>
      </c>
    </row>
    <row r="283" spans="1:13" x14ac:dyDescent="0.25">
      <c r="A283">
        <v>41</v>
      </c>
      <c r="B283" s="1">
        <v>43903</v>
      </c>
      <c r="C283" t="str">
        <f t="shared" si="17"/>
        <v>marzo</v>
      </c>
      <c r="D283" t="s">
        <v>163</v>
      </c>
      <c r="E283" t="s">
        <v>15</v>
      </c>
      <c r="G283" t="s">
        <v>297</v>
      </c>
      <c r="H283">
        <v>20</v>
      </c>
      <c r="I283">
        <v>206.39</v>
      </c>
      <c r="J283" s="9">
        <f t="shared" si="18"/>
        <v>4127.7999999999993</v>
      </c>
      <c r="K283">
        <v>240</v>
      </c>
      <c r="L283" s="9">
        <f t="shared" si="19"/>
        <v>4800</v>
      </c>
      <c r="M283" s="9">
        <f t="shared" si="16"/>
        <v>672.20000000000073</v>
      </c>
    </row>
    <row r="284" spans="1:13" x14ac:dyDescent="0.25">
      <c r="A284">
        <v>42</v>
      </c>
      <c r="B284" s="1">
        <v>43903</v>
      </c>
      <c r="C284" t="str">
        <f t="shared" si="17"/>
        <v>marzo</v>
      </c>
      <c r="D284" t="s">
        <v>163</v>
      </c>
      <c r="E284" t="s">
        <v>15</v>
      </c>
      <c r="G284" t="s">
        <v>234</v>
      </c>
      <c r="H284">
        <v>6.93</v>
      </c>
      <c r="I284">
        <v>243.01</v>
      </c>
      <c r="J284" s="9">
        <f t="shared" si="18"/>
        <v>1684.0592999999999</v>
      </c>
      <c r="K284">
        <v>290</v>
      </c>
      <c r="L284" s="9">
        <f t="shared" si="19"/>
        <v>2009.6999999999998</v>
      </c>
      <c r="M284" s="9">
        <f t="shared" si="16"/>
        <v>325.64069999999992</v>
      </c>
    </row>
    <row r="285" spans="1:13" hidden="1" x14ac:dyDescent="0.25">
      <c r="A285">
        <v>43</v>
      </c>
      <c r="B285" s="1">
        <v>43903</v>
      </c>
      <c r="C285" t="str">
        <f t="shared" si="17"/>
        <v>marzo</v>
      </c>
      <c r="D285" t="s">
        <v>163</v>
      </c>
      <c r="E285" t="s">
        <v>70</v>
      </c>
      <c r="G285" t="s">
        <v>298</v>
      </c>
      <c r="H285">
        <v>2</v>
      </c>
      <c r="I285">
        <v>2402.2399999999998</v>
      </c>
      <c r="J285" s="9">
        <f t="shared" si="18"/>
        <v>4804.4799999999996</v>
      </c>
      <c r="K285">
        <v>4000</v>
      </c>
      <c r="L285" s="9">
        <f t="shared" si="19"/>
        <v>8000</v>
      </c>
      <c r="M285" s="9">
        <f t="shared" si="16"/>
        <v>3195.5200000000004</v>
      </c>
    </row>
    <row r="286" spans="1:13" hidden="1" x14ac:dyDescent="0.25">
      <c r="A286">
        <v>44</v>
      </c>
      <c r="B286" s="1">
        <v>43903</v>
      </c>
      <c r="C286" t="str">
        <f t="shared" si="17"/>
        <v>marzo</v>
      </c>
      <c r="D286" t="s">
        <v>163</v>
      </c>
      <c r="E286" t="s">
        <v>70</v>
      </c>
      <c r="G286" t="s">
        <v>299</v>
      </c>
      <c r="H286">
        <v>16</v>
      </c>
      <c r="I286">
        <v>68.77</v>
      </c>
      <c r="J286" s="9">
        <f t="shared" si="18"/>
        <v>1100.32</v>
      </c>
      <c r="K286">
        <v>85</v>
      </c>
      <c r="L286" s="9">
        <f t="shared" si="19"/>
        <v>1360</v>
      </c>
      <c r="M286" s="9">
        <f t="shared" ref="M286:M317" si="20">+L286-J286</f>
        <v>259.68000000000006</v>
      </c>
    </row>
    <row r="287" spans="1:13" x14ac:dyDescent="0.25">
      <c r="A287">
        <v>45</v>
      </c>
      <c r="B287" s="1">
        <v>43903</v>
      </c>
      <c r="C287" t="str">
        <f t="shared" si="17"/>
        <v>marzo</v>
      </c>
      <c r="D287" t="s">
        <v>163</v>
      </c>
      <c r="E287" t="s">
        <v>15</v>
      </c>
      <c r="G287" t="s">
        <v>32</v>
      </c>
      <c r="H287">
        <v>10</v>
      </c>
      <c r="I287">
        <v>215.06</v>
      </c>
      <c r="J287" s="9">
        <f t="shared" si="18"/>
        <v>2150.6</v>
      </c>
      <c r="K287">
        <v>280</v>
      </c>
      <c r="L287" s="9">
        <f t="shared" si="19"/>
        <v>2800</v>
      </c>
      <c r="M287" s="9">
        <f t="shared" si="20"/>
        <v>649.40000000000009</v>
      </c>
    </row>
    <row r="288" spans="1:13" hidden="1" x14ac:dyDescent="0.25">
      <c r="A288">
        <v>46</v>
      </c>
      <c r="B288" s="1">
        <v>43906</v>
      </c>
      <c r="C288" t="str">
        <f t="shared" si="17"/>
        <v>marzo</v>
      </c>
      <c r="D288" t="s">
        <v>167</v>
      </c>
      <c r="E288" t="s">
        <v>70</v>
      </c>
      <c r="G288" t="s">
        <v>227</v>
      </c>
      <c r="H288">
        <v>10</v>
      </c>
      <c r="I288">
        <v>1440</v>
      </c>
      <c r="J288" s="9">
        <f t="shared" si="18"/>
        <v>14400</v>
      </c>
      <c r="K288">
        <v>1650</v>
      </c>
      <c r="L288" s="9">
        <f t="shared" si="19"/>
        <v>16500</v>
      </c>
      <c r="M288" s="9">
        <f t="shared" si="20"/>
        <v>2100</v>
      </c>
    </row>
    <row r="289" spans="1:13" hidden="1" x14ac:dyDescent="0.25">
      <c r="A289">
        <v>47</v>
      </c>
      <c r="B289" s="1">
        <v>43906</v>
      </c>
      <c r="C289" t="str">
        <f t="shared" si="17"/>
        <v>marzo</v>
      </c>
      <c r="D289" t="s">
        <v>167</v>
      </c>
      <c r="E289" t="s">
        <v>85</v>
      </c>
      <c r="G289" t="s">
        <v>216</v>
      </c>
      <c r="H289">
        <v>10</v>
      </c>
      <c r="I289">
        <v>398</v>
      </c>
      <c r="J289" s="9">
        <f t="shared" si="18"/>
        <v>3980</v>
      </c>
      <c r="K289">
        <v>900</v>
      </c>
      <c r="L289" s="9">
        <f t="shared" si="19"/>
        <v>9000</v>
      </c>
      <c r="M289" s="9">
        <f t="shared" si="20"/>
        <v>5020</v>
      </c>
    </row>
    <row r="290" spans="1:13" hidden="1" x14ac:dyDescent="0.25">
      <c r="A290">
        <v>48</v>
      </c>
      <c r="B290" s="1">
        <v>43906</v>
      </c>
      <c r="C290" t="str">
        <f t="shared" si="17"/>
        <v>marzo</v>
      </c>
      <c r="D290" t="s">
        <v>167</v>
      </c>
      <c r="E290" t="s">
        <v>55</v>
      </c>
      <c r="G290" t="s">
        <v>115</v>
      </c>
      <c r="H290">
        <v>10</v>
      </c>
      <c r="I290">
        <v>207</v>
      </c>
      <c r="J290" s="9">
        <f t="shared" si="18"/>
        <v>2070</v>
      </c>
      <c r="K290">
        <v>280</v>
      </c>
      <c r="L290" s="9">
        <f t="shared" si="19"/>
        <v>2800</v>
      </c>
      <c r="M290" s="9">
        <f t="shared" si="20"/>
        <v>730</v>
      </c>
    </row>
    <row r="291" spans="1:13" hidden="1" x14ac:dyDescent="0.25">
      <c r="A291">
        <v>49</v>
      </c>
      <c r="B291" s="1">
        <v>43906</v>
      </c>
      <c r="C291" t="str">
        <f t="shared" si="17"/>
        <v>marzo</v>
      </c>
      <c r="D291" t="s">
        <v>167</v>
      </c>
      <c r="E291" t="s">
        <v>55</v>
      </c>
      <c r="G291" t="s">
        <v>113</v>
      </c>
      <c r="H291">
        <v>30</v>
      </c>
      <c r="I291">
        <v>207</v>
      </c>
      <c r="J291" s="9">
        <f t="shared" si="18"/>
        <v>6210</v>
      </c>
      <c r="K291">
        <v>280</v>
      </c>
      <c r="L291" s="9">
        <f t="shared" si="19"/>
        <v>8400</v>
      </c>
      <c r="M291" s="9">
        <f t="shared" si="20"/>
        <v>2190</v>
      </c>
    </row>
    <row r="292" spans="1:13" hidden="1" x14ac:dyDescent="0.25">
      <c r="A292">
        <v>50</v>
      </c>
      <c r="B292" s="1">
        <v>43906</v>
      </c>
      <c r="C292" t="str">
        <f t="shared" si="17"/>
        <v>marzo</v>
      </c>
      <c r="D292" t="s">
        <v>167</v>
      </c>
      <c r="E292" t="s">
        <v>55</v>
      </c>
      <c r="G292" t="s">
        <v>300</v>
      </c>
      <c r="H292">
        <v>10</v>
      </c>
      <c r="I292">
        <v>207</v>
      </c>
      <c r="J292" s="9">
        <f t="shared" si="18"/>
        <v>2070</v>
      </c>
      <c r="K292">
        <v>280</v>
      </c>
      <c r="L292" s="9">
        <f t="shared" si="19"/>
        <v>2800</v>
      </c>
      <c r="M292" s="9">
        <f t="shared" si="20"/>
        <v>730</v>
      </c>
    </row>
    <row r="293" spans="1:13" hidden="1" x14ac:dyDescent="0.25">
      <c r="A293">
        <v>51</v>
      </c>
      <c r="B293" s="1">
        <v>43906</v>
      </c>
      <c r="C293" t="str">
        <f t="shared" si="17"/>
        <v>marzo</v>
      </c>
      <c r="D293" t="s">
        <v>167</v>
      </c>
      <c r="E293" t="s">
        <v>55</v>
      </c>
      <c r="G293" t="s">
        <v>301</v>
      </c>
      <c r="H293">
        <v>30</v>
      </c>
      <c r="I293">
        <v>207</v>
      </c>
      <c r="J293" s="9">
        <f t="shared" si="18"/>
        <v>6210</v>
      </c>
      <c r="K293">
        <v>280</v>
      </c>
      <c r="L293" s="9">
        <f t="shared" si="19"/>
        <v>8400</v>
      </c>
      <c r="M293" s="9">
        <f t="shared" si="20"/>
        <v>2190</v>
      </c>
    </row>
    <row r="294" spans="1:13" hidden="1" x14ac:dyDescent="0.25">
      <c r="A294">
        <v>52</v>
      </c>
      <c r="B294" s="1">
        <v>43906</v>
      </c>
      <c r="C294" t="str">
        <f t="shared" si="17"/>
        <v>marzo</v>
      </c>
      <c r="D294" t="s">
        <v>167</v>
      </c>
      <c r="E294" t="s">
        <v>55</v>
      </c>
      <c r="G294" t="s">
        <v>149</v>
      </c>
      <c r="H294">
        <v>19</v>
      </c>
      <c r="I294">
        <v>268</v>
      </c>
      <c r="J294" s="9">
        <f t="shared" si="18"/>
        <v>5092</v>
      </c>
      <c r="K294">
        <v>300</v>
      </c>
      <c r="L294" s="9">
        <f t="shared" si="19"/>
        <v>5700</v>
      </c>
      <c r="M294" s="9">
        <f t="shared" si="20"/>
        <v>608</v>
      </c>
    </row>
    <row r="295" spans="1:13" hidden="1" x14ac:dyDescent="0.25">
      <c r="A295">
        <v>53</v>
      </c>
      <c r="B295" s="1">
        <v>43906</v>
      </c>
      <c r="C295" t="str">
        <f t="shared" si="17"/>
        <v>marzo</v>
      </c>
      <c r="D295" t="s">
        <v>167</v>
      </c>
      <c r="E295" t="s">
        <v>55</v>
      </c>
      <c r="G295" t="s">
        <v>149</v>
      </c>
      <c r="H295">
        <v>5</v>
      </c>
      <c r="I295">
        <v>268</v>
      </c>
      <c r="J295" s="9">
        <f t="shared" si="18"/>
        <v>1340</v>
      </c>
      <c r="K295">
        <v>300</v>
      </c>
      <c r="L295" s="9">
        <f t="shared" si="19"/>
        <v>1500</v>
      </c>
      <c r="M295" s="9">
        <f t="shared" si="20"/>
        <v>160</v>
      </c>
    </row>
    <row r="296" spans="1:13" hidden="1" x14ac:dyDescent="0.25">
      <c r="A296">
        <v>54</v>
      </c>
      <c r="B296" s="1">
        <v>43906</v>
      </c>
      <c r="C296" t="str">
        <f t="shared" si="17"/>
        <v>marzo</v>
      </c>
      <c r="D296" t="s">
        <v>167</v>
      </c>
      <c r="E296" t="s">
        <v>55</v>
      </c>
      <c r="G296" t="s">
        <v>149</v>
      </c>
      <c r="H296">
        <v>5</v>
      </c>
      <c r="I296">
        <v>268</v>
      </c>
      <c r="J296" s="9">
        <f t="shared" si="18"/>
        <v>1340</v>
      </c>
      <c r="K296">
        <v>300</v>
      </c>
      <c r="L296" s="9">
        <f t="shared" si="19"/>
        <v>1500</v>
      </c>
      <c r="M296" s="9">
        <f t="shared" si="20"/>
        <v>160</v>
      </c>
    </row>
    <row r="297" spans="1:13" hidden="1" x14ac:dyDescent="0.25">
      <c r="A297">
        <v>55</v>
      </c>
      <c r="B297" s="1">
        <v>43906</v>
      </c>
      <c r="C297" t="str">
        <f t="shared" si="17"/>
        <v>marzo</v>
      </c>
      <c r="D297" t="s">
        <v>167</v>
      </c>
      <c r="E297" t="s">
        <v>70</v>
      </c>
      <c r="G297" t="s">
        <v>284</v>
      </c>
      <c r="H297">
        <v>1</v>
      </c>
      <c r="I297">
        <v>1672</v>
      </c>
      <c r="J297" s="9">
        <f t="shared" si="18"/>
        <v>1672</v>
      </c>
      <c r="K297">
        <v>1900</v>
      </c>
      <c r="L297" s="9">
        <f t="shared" si="19"/>
        <v>1900</v>
      </c>
      <c r="M297" s="9">
        <f t="shared" si="20"/>
        <v>228</v>
      </c>
    </row>
    <row r="298" spans="1:13" hidden="1" x14ac:dyDescent="0.25">
      <c r="A298">
        <v>56</v>
      </c>
      <c r="B298" s="1">
        <v>43906</v>
      </c>
      <c r="C298" t="str">
        <f t="shared" si="17"/>
        <v>marzo</v>
      </c>
      <c r="D298" t="s">
        <v>167</v>
      </c>
      <c r="E298" t="s">
        <v>70</v>
      </c>
      <c r="G298" t="s">
        <v>151</v>
      </c>
      <c r="H298">
        <v>1</v>
      </c>
      <c r="I298">
        <v>1596</v>
      </c>
      <c r="J298" s="9">
        <f t="shared" si="18"/>
        <v>1596</v>
      </c>
      <c r="K298">
        <v>1800</v>
      </c>
      <c r="L298" s="9">
        <f t="shared" si="19"/>
        <v>1800</v>
      </c>
      <c r="M298" s="9">
        <f t="shared" si="20"/>
        <v>204</v>
      </c>
    </row>
    <row r="299" spans="1:13" hidden="1" x14ac:dyDescent="0.25">
      <c r="A299">
        <v>57</v>
      </c>
      <c r="B299" s="1">
        <v>43906</v>
      </c>
      <c r="C299" t="str">
        <f t="shared" si="17"/>
        <v>marzo</v>
      </c>
      <c r="D299" t="s">
        <v>167</v>
      </c>
      <c r="E299" t="s">
        <v>70</v>
      </c>
      <c r="G299" t="s">
        <v>191</v>
      </c>
      <c r="H299">
        <v>1</v>
      </c>
      <c r="I299">
        <v>1672</v>
      </c>
      <c r="J299" s="9">
        <f t="shared" si="18"/>
        <v>1672</v>
      </c>
      <c r="K299">
        <v>1900</v>
      </c>
      <c r="L299" s="9">
        <f t="shared" si="19"/>
        <v>1900</v>
      </c>
      <c r="M299" s="9">
        <f t="shared" si="20"/>
        <v>228</v>
      </c>
    </row>
    <row r="300" spans="1:13" hidden="1" x14ac:dyDescent="0.25">
      <c r="A300">
        <v>58</v>
      </c>
      <c r="B300" s="1">
        <v>43906</v>
      </c>
      <c r="C300" t="str">
        <f t="shared" si="17"/>
        <v>marzo</v>
      </c>
      <c r="D300" t="s">
        <v>167</v>
      </c>
      <c r="E300" t="s">
        <v>70</v>
      </c>
      <c r="G300" t="s">
        <v>192</v>
      </c>
      <c r="H300">
        <v>1</v>
      </c>
      <c r="I300">
        <v>1596</v>
      </c>
      <c r="J300" s="9">
        <f t="shared" si="18"/>
        <v>1596</v>
      </c>
      <c r="K300">
        <v>1800</v>
      </c>
      <c r="L300" s="9">
        <f t="shared" si="19"/>
        <v>1800</v>
      </c>
      <c r="M300" s="9">
        <f t="shared" si="20"/>
        <v>204</v>
      </c>
    </row>
    <row r="301" spans="1:13" hidden="1" x14ac:dyDescent="0.25">
      <c r="A301">
        <v>59</v>
      </c>
      <c r="B301" s="1">
        <v>43906</v>
      </c>
      <c r="C301" t="str">
        <f t="shared" si="17"/>
        <v>marzo</v>
      </c>
      <c r="D301" t="s">
        <v>167</v>
      </c>
      <c r="E301" t="s">
        <v>70</v>
      </c>
      <c r="G301" t="s">
        <v>302</v>
      </c>
      <c r="H301">
        <v>2</v>
      </c>
      <c r="I301">
        <v>736</v>
      </c>
      <c r="J301" s="9">
        <f t="shared" si="18"/>
        <v>1472</v>
      </c>
      <c r="K301">
        <v>800</v>
      </c>
      <c r="L301" s="9">
        <f t="shared" si="19"/>
        <v>1600</v>
      </c>
      <c r="M301" s="9">
        <f t="shared" si="20"/>
        <v>128</v>
      </c>
    </row>
    <row r="302" spans="1:13" hidden="1" x14ac:dyDescent="0.25">
      <c r="A302">
        <v>60</v>
      </c>
      <c r="B302" s="1">
        <v>43906</v>
      </c>
      <c r="C302" t="str">
        <f t="shared" si="17"/>
        <v>marzo</v>
      </c>
      <c r="D302" t="s">
        <v>167</v>
      </c>
      <c r="E302" t="s">
        <v>15</v>
      </c>
      <c r="G302" t="s">
        <v>271</v>
      </c>
      <c r="H302">
        <v>10</v>
      </c>
      <c r="I302">
        <v>268</v>
      </c>
      <c r="J302" s="9">
        <f t="shared" si="18"/>
        <v>2680</v>
      </c>
      <c r="K302">
        <v>300</v>
      </c>
      <c r="L302" s="9">
        <f t="shared" si="19"/>
        <v>3000</v>
      </c>
      <c r="M302" s="9">
        <f t="shared" si="20"/>
        <v>320</v>
      </c>
    </row>
    <row r="303" spans="1:13" hidden="1" x14ac:dyDescent="0.25">
      <c r="A303">
        <v>61</v>
      </c>
      <c r="B303" s="1">
        <v>43906</v>
      </c>
      <c r="C303" t="str">
        <f t="shared" si="17"/>
        <v>marzo</v>
      </c>
      <c r="D303" t="s">
        <v>167</v>
      </c>
      <c r="E303" t="s">
        <v>15</v>
      </c>
      <c r="G303" t="s">
        <v>303</v>
      </c>
      <c r="H303">
        <v>30</v>
      </c>
      <c r="I303">
        <v>206</v>
      </c>
      <c r="J303" s="9">
        <f t="shared" si="18"/>
        <v>6180</v>
      </c>
      <c r="K303">
        <v>240</v>
      </c>
      <c r="L303" s="9">
        <f t="shared" si="19"/>
        <v>7200</v>
      </c>
      <c r="M303" s="9">
        <f t="shared" si="20"/>
        <v>1020</v>
      </c>
    </row>
    <row r="304" spans="1:13" hidden="1" x14ac:dyDescent="0.25">
      <c r="A304">
        <v>62</v>
      </c>
      <c r="B304" s="1">
        <v>43907</v>
      </c>
      <c r="C304" t="str">
        <f t="shared" si="17"/>
        <v>marzo</v>
      </c>
      <c r="D304" t="s">
        <v>13</v>
      </c>
      <c r="E304" t="s">
        <v>55</v>
      </c>
      <c r="G304" t="s">
        <v>113</v>
      </c>
      <c r="H304">
        <v>1</v>
      </c>
      <c r="I304">
        <v>230</v>
      </c>
      <c r="J304" s="9">
        <f t="shared" si="18"/>
        <v>230</v>
      </c>
      <c r="K304">
        <v>280</v>
      </c>
      <c r="L304" s="9">
        <f t="shared" si="19"/>
        <v>280</v>
      </c>
      <c r="M304" s="9">
        <f t="shared" si="20"/>
        <v>50</v>
      </c>
    </row>
    <row r="305" spans="1:13" hidden="1" x14ac:dyDescent="0.25">
      <c r="A305">
        <v>63</v>
      </c>
      <c r="B305" s="1">
        <v>43907</v>
      </c>
      <c r="C305" t="str">
        <f t="shared" si="17"/>
        <v>marzo</v>
      </c>
      <c r="D305" t="s">
        <v>13</v>
      </c>
      <c r="E305" t="s">
        <v>55</v>
      </c>
      <c r="G305" t="s">
        <v>115</v>
      </c>
      <c r="H305">
        <v>1</v>
      </c>
      <c r="I305">
        <v>230</v>
      </c>
      <c r="J305" s="9">
        <f t="shared" si="18"/>
        <v>230</v>
      </c>
      <c r="K305">
        <v>280</v>
      </c>
      <c r="L305" s="9">
        <f t="shared" si="19"/>
        <v>280</v>
      </c>
      <c r="M305" s="9">
        <f t="shared" si="20"/>
        <v>50</v>
      </c>
    </row>
    <row r="306" spans="1:13" hidden="1" x14ac:dyDescent="0.25">
      <c r="A306">
        <v>64</v>
      </c>
      <c r="B306" s="1">
        <v>43908</v>
      </c>
      <c r="C306" t="str">
        <f t="shared" si="17"/>
        <v>marzo</v>
      </c>
      <c r="D306" t="s">
        <v>99</v>
      </c>
      <c r="E306" t="s">
        <v>26</v>
      </c>
      <c r="G306" t="s">
        <v>100</v>
      </c>
      <c r="H306">
        <v>63.36</v>
      </c>
      <c r="I306">
        <f>19636.73/63.36</f>
        <v>309.92313762626264</v>
      </c>
      <c r="J306" s="9">
        <f t="shared" si="18"/>
        <v>19636.73</v>
      </c>
      <c r="K306">
        <v>380</v>
      </c>
      <c r="L306" s="9">
        <f t="shared" si="19"/>
        <v>24076.799999999999</v>
      </c>
      <c r="M306" s="9">
        <f t="shared" si="20"/>
        <v>4440.07</v>
      </c>
    </row>
    <row r="307" spans="1:13" hidden="1" x14ac:dyDescent="0.25">
      <c r="A307">
        <v>65</v>
      </c>
      <c r="B307" s="1">
        <v>43909</v>
      </c>
      <c r="C307" t="str">
        <f t="shared" si="17"/>
        <v>marzo</v>
      </c>
      <c r="D307" t="s">
        <v>13</v>
      </c>
      <c r="E307" t="s">
        <v>15</v>
      </c>
      <c r="G307" t="s">
        <v>105</v>
      </c>
      <c r="H307">
        <v>15.47</v>
      </c>
      <c r="I307">
        <v>335</v>
      </c>
      <c r="J307" s="9">
        <f t="shared" si="18"/>
        <v>5182.45</v>
      </c>
      <c r="K307">
        <v>430</v>
      </c>
      <c r="L307" s="9">
        <f t="shared" si="19"/>
        <v>6652.1</v>
      </c>
      <c r="M307" s="9">
        <f t="shared" si="20"/>
        <v>1469.6500000000005</v>
      </c>
    </row>
    <row r="308" spans="1:13" hidden="1" x14ac:dyDescent="0.25">
      <c r="A308">
        <v>66</v>
      </c>
      <c r="B308" s="1">
        <v>43910</v>
      </c>
      <c r="C308" t="str">
        <f t="shared" si="17"/>
        <v>marzo</v>
      </c>
      <c r="D308" t="s">
        <v>13</v>
      </c>
      <c r="E308" t="s">
        <v>15</v>
      </c>
      <c r="G308" t="s">
        <v>106</v>
      </c>
      <c r="H308">
        <v>6.65</v>
      </c>
      <c r="I308">
        <v>280</v>
      </c>
      <c r="J308" s="9">
        <f t="shared" si="18"/>
        <v>1862</v>
      </c>
      <c r="K308">
        <v>300</v>
      </c>
      <c r="L308" s="9">
        <f t="shared" si="19"/>
        <v>1995</v>
      </c>
      <c r="M308" s="9">
        <f t="shared" si="20"/>
        <v>133</v>
      </c>
    </row>
    <row r="309" spans="1:13" hidden="1" x14ac:dyDescent="0.25">
      <c r="A309">
        <v>67</v>
      </c>
      <c r="B309" s="1">
        <v>43910</v>
      </c>
      <c r="C309" t="str">
        <f t="shared" si="17"/>
        <v>marzo</v>
      </c>
      <c r="D309" t="s">
        <v>13</v>
      </c>
      <c r="E309" t="s">
        <v>15</v>
      </c>
      <c r="G309" t="s">
        <v>17</v>
      </c>
      <c r="H309">
        <f>1.19*3</f>
        <v>3.57</v>
      </c>
      <c r="I309">
        <v>330</v>
      </c>
      <c r="J309" s="9">
        <f t="shared" si="18"/>
        <v>1178.0999999999999</v>
      </c>
      <c r="K309">
        <v>360</v>
      </c>
      <c r="L309" s="9">
        <f t="shared" si="19"/>
        <v>1285.2</v>
      </c>
      <c r="M309" s="9">
        <f t="shared" si="20"/>
        <v>107.10000000000014</v>
      </c>
    </row>
    <row r="310" spans="1:13" hidden="1" x14ac:dyDescent="0.25">
      <c r="A310">
        <v>68</v>
      </c>
      <c r="B310" s="1">
        <v>43910</v>
      </c>
      <c r="C310" t="str">
        <f t="shared" si="17"/>
        <v>marzo</v>
      </c>
      <c r="D310" t="s">
        <v>13</v>
      </c>
      <c r="E310" t="s">
        <v>15</v>
      </c>
      <c r="G310" t="s">
        <v>149</v>
      </c>
      <c r="H310">
        <v>12</v>
      </c>
      <c r="I310">
        <v>280</v>
      </c>
      <c r="J310" s="9">
        <f t="shared" si="18"/>
        <v>3360</v>
      </c>
      <c r="K310">
        <v>300</v>
      </c>
      <c r="L310" s="9">
        <f t="shared" si="19"/>
        <v>3600</v>
      </c>
      <c r="M310" s="9">
        <f t="shared" si="20"/>
        <v>240</v>
      </c>
    </row>
    <row r="311" spans="1:13" hidden="1" x14ac:dyDescent="0.25">
      <c r="A311">
        <v>69</v>
      </c>
      <c r="B311" s="1">
        <v>43910</v>
      </c>
      <c r="C311" t="str">
        <f t="shared" si="17"/>
        <v>marzo</v>
      </c>
      <c r="D311" t="s">
        <v>99</v>
      </c>
      <c r="E311" t="s">
        <v>26</v>
      </c>
      <c r="G311" t="s">
        <v>100</v>
      </c>
      <c r="H311">
        <v>28.8</v>
      </c>
      <c r="I311">
        <v>309.93</v>
      </c>
      <c r="J311" s="9">
        <f t="shared" si="18"/>
        <v>8925.9840000000004</v>
      </c>
      <c r="K311">
        <v>380</v>
      </c>
      <c r="L311" s="9">
        <f t="shared" si="19"/>
        <v>10944</v>
      </c>
      <c r="M311" s="9">
        <f t="shared" si="20"/>
        <v>2018.0159999999996</v>
      </c>
    </row>
    <row r="312" spans="1:13" hidden="1" x14ac:dyDescent="0.25">
      <c r="A312">
        <v>70</v>
      </c>
      <c r="B312" s="1">
        <v>43911</v>
      </c>
      <c r="C312" t="str">
        <f t="shared" si="17"/>
        <v>marzo</v>
      </c>
      <c r="D312" t="s">
        <v>13</v>
      </c>
      <c r="E312" t="s">
        <v>15</v>
      </c>
      <c r="G312" t="s">
        <v>106</v>
      </c>
      <c r="H312">
        <v>6.65</v>
      </c>
      <c r="I312">
        <v>280</v>
      </c>
      <c r="J312" s="9">
        <f t="shared" si="18"/>
        <v>1862</v>
      </c>
      <c r="K312">
        <v>300</v>
      </c>
      <c r="L312" s="9">
        <f t="shared" si="19"/>
        <v>1995</v>
      </c>
      <c r="M312" s="9">
        <f t="shared" si="20"/>
        <v>133</v>
      </c>
    </row>
    <row r="313" spans="1:13" hidden="1" x14ac:dyDescent="0.25">
      <c r="A313">
        <v>71</v>
      </c>
      <c r="B313" s="1">
        <v>43916</v>
      </c>
      <c r="C313" t="str">
        <f t="shared" si="17"/>
        <v>marzo</v>
      </c>
      <c r="D313" t="s">
        <v>13</v>
      </c>
      <c r="E313" t="s">
        <v>55</v>
      </c>
      <c r="G313" t="s">
        <v>277</v>
      </c>
      <c r="H313">
        <v>5</v>
      </c>
      <c r="I313">
        <v>280</v>
      </c>
      <c r="J313" s="5">
        <f t="shared" si="18"/>
        <v>1400</v>
      </c>
      <c r="K313">
        <v>300</v>
      </c>
      <c r="L313" s="9">
        <f t="shared" si="19"/>
        <v>1500</v>
      </c>
      <c r="M313" s="5">
        <f t="shared" si="20"/>
        <v>100</v>
      </c>
    </row>
    <row r="314" spans="1:13" x14ac:dyDescent="0.25">
      <c r="A314">
        <v>72</v>
      </c>
      <c r="B314" s="1">
        <v>43918</v>
      </c>
      <c r="C314" t="str">
        <f t="shared" si="17"/>
        <v>marzo</v>
      </c>
      <c r="D314" t="s">
        <v>163</v>
      </c>
      <c r="E314" t="s">
        <v>15</v>
      </c>
      <c r="G314" t="s">
        <v>29</v>
      </c>
      <c r="H314">
        <v>100</v>
      </c>
      <c r="I314">
        <v>197</v>
      </c>
      <c r="J314" s="5">
        <f t="shared" si="18"/>
        <v>19700</v>
      </c>
      <c r="K314">
        <v>230</v>
      </c>
      <c r="L314" s="9">
        <f t="shared" si="19"/>
        <v>23000</v>
      </c>
      <c r="M314" s="5">
        <f t="shared" si="20"/>
        <v>3300</v>
      </c>
    </row>
    <row r="315" spans="1:13" x14ac:dyDescent="0.25">
      <c r="A315">
        <v>73</v>
      </c>
      <c r="B315" s="1">
        <v>43918</v>
      </c>
      <c r="C315" t="str">
        <f t="shared" si="17"/>
        <v>marzo</v>
      </c>
      <c r="D315" t="s">
        <v>163</v>
      </c>
      <c r="E315" t="s">
        <v>15</v>
      </c>
      <c r="G315" t="s">
        <v>54</v>
      </c>
      <c r="H315">
        <v>50</v>
      </c>
      <c r="I315">
        <v>214</v>
      </c>
      <c r="J315" s="5">
        <f t="shared" si="18"/>
        <v>10700</v>
      </c>
      <c r="K315">
        <v>240</v>
      </c>
      <c r="L315" s="9">
        <f t="shared" si="19"/>
        <v>12000</v>
      </c>
      <c r="M315" s="5">
        <f t="shared" si="20"/>
        <v>1300</v>
      </c>
    </row>
    <row r="316" spans="1:13" x14ac:dyDescent="0.25">
      <c r="A316">
        <v>74</v>
      </c>
      <c r="B316" s="1">
        <v>43918</v>
      </c>
      <c r="C316" t="str">
        <f t="shared" si="17"/>
        <v>marzo</v>
      </c>
      <c r="D316" t="s">
        <v>163</v>
      </c>
      <c r="E316" t="s">
        <v>15</v>
      </c>
      <c r="G316" t="s">
        <v>32</v>
      </c>
      <c r="H316">
        <v>10</v>
      </c>
      <c r="I316">
        <v>216</v>
      </c>
      <c r="J316" s="5">
        <f t="shared" si="18"/>
        <v>2160</v>
      </c>
      <c r="K316">
        <v>280</v>
      </c>
      <c r="L316" s="9">
        <f t="shared" si="19"/>
        <v>2800</v>
      </c>
      <c r="M316" s="5">
        <f t="shared" si="20"/>
        <v>640</v>
      </c>
    </row>
    <row r="317" spans="1:13" x14ac:dyDescent="0.25">
      <c r="A317">
        <v>75</v>
      </c>
      <c r="B317" s="1">
        <v>43918</v>
      </c>
      <c r="C317" t="str">
        <f t="shared" si="17"/>
        <v>marzo</v>
      </c>
      <c r="D317" t="s">
        <v>163</v>
      </c>
      <c r="E317" t="s">
        <v>15</v>
      </c>
      <c r="G317" t="s">
        <v>292</v>
      </c>
      <c r="H317">
        <v>50</v>
      </c>
      <c r="I317">
        <v>177</v>
      </c>
      <c r="J317" s="5">
        <f t="shared" si="18"/>
        <v>8850</v>
      </c>
      <c r="K317">
        <v>230</v>
      </c>
      <c r="L317" s="9">
        <f t="shared" si="19"/>
        <v>11500</v>
      </c>
      <c r="M317" s="5">
        <f t="shared" si="20"/>
        <v>2650</v>
      </c>
    </row>
    <row r="318" spans="1:13" x14ac:dyDescent="0.25">
      <c r="A318">
        <v>76</v>
      </c>
      <c r="B318" s="1">
        <v>43918</v>
      </c>
      <c r="C318" t="str">
        <f t="shared" si="17"/>
        <v>marzo</v>
      </c>
      <c r="D318" t="s">
        <v>163</v>
      </c>
      <c r="E318" t="s">
        <v>15</v>
      </c>
      <c r="G318" t="s">
        <v>320</v>
      </c>
      <c r="H318">
        <v>50</v>
      </c>
      <c r="I318">
        <v>205</v>
      </c>
      <c r="J318" s="5">
        <f t="shared" si="18"/>
        <v>10250</v>
      </c>
      <c r="K318">
        <v>240</v>
      </c>
      <c r="L318" s="9">
        <f t="shared" si="19"/>
        <v>12000</v>
      </c>
      <c r="M318" s="5">
        <f t="shared" ref="M318:M349" si="21">+L318-J318</f>
        <v>1750</v>
      </c>
    </row>
    <row r="319" spans="1:13" hidden="1" x14ac:dyDescent="0.25">
      <c r="A319">
        <v>77</v>
      </c>
      <c r="B319" s="1">
        <v>43918</v>
      </c>
      <c r="C319" t="str">
        <f t="shared" si="17"/>
        <v>marzo</v>
      </c>
      <c r="D319" t="s">
        <v>163</v>
      </c>
      <c r="E319" t="s">
        <v>56</v>
      </c>
      <c r="G319" t="s">
        <v>171</v>
      </c>
      <c r="H319">
        <v>26</v>
      </c>
      <c r="I319">
        <v>121</v>
      </c>
      <c r="J319" s="5">
        <f t="shared" si="18"/>
        <v>3146</v>
      </c>
      <c r="K319">
        <v>170</v>
      </c>
      <c r="L319" s="9">
        <f t="shared" si="19"/>
        <v>4420</v>
      </c>
      <c r="M319" s="5">
        <f t="shared" si="21"/>
        <v>1274</v>
      </c>
    </row>
    <row r="320" spans="1:13" hidden="1" x14ac:dyDescent="0.25">
      <c r="A320">
        <v>78</v>
      </c>
      <c r="B320" s="1">
        <v>43918</v>
      </c>
      <c r="C320" t="str">
        <f t="shared" si="17"/>
        <v>marzo</v>
      </c>
      <c r="D320" t="s">
        <v>163</v>
      </c>
      <c r="E320" t="s">
        <v>25</v>
      </c>
      <c r="G320" t="s">
        <v>172</v>
      </c>
      <c r="H320">
        <v>4</v>
      </c>
      <c r="I320">
        <v>52</v>
      </c>
      <c r="J320" s="5">
        <f t="shared" si="18"/>
        <v>208</v>
      </c>
      <c r="K320">
        <v>100</v>
      </c>
      <c r="L320" s="9">
        <f t="shared" si="19"/>
        <v>400</v>
      </c>
      <c r="M320" s="55">
        <f t="shared" si="21"/>
        <v>192</v>
      </c>
    </row>
    <row r="321" spans="1:13" hidden="1" x14ac:dyDescent="0.25">
      <c r="A321">
        <v>79</v>
      </c>
      <c r="B321" s="1">
        <v>43921</v>
      </c>
      <c r="C321" t="str">
        <f t="shared" si="17"/>
        <v>marzo</v>
      </c>
      <c r="D321" t="s">
        <v>13</v>
      </c>
      <c r="E321" t="s">
        <v>15</v>
      </c>
      <c r="G321" t="s">
        <v>131</v>
      </c>
      <c r="H321">
        <v>2.66</v>
      </c>
      <c r="I321">
        <v>280</v>
      </c>
      <c r="J321" s="5">
        <f t="shared" si="18"/>
        <v>744.80000000000007</v>
      </c>
      <c r="K321">
        <v>300</v>
      </c>
      <c r="L321" s="9">
        <f t="shared" si="19"/>
        <v>798</v>
      </c>
      <c r="M321" s="5">
        <f t="shared" si="21"/>
        <v>53.199999999999932</v>
      </c>
    </row>
    <row r="322" spans="1:13" hidden="1" x14ac:dyDescent="0.25">
      <c r="B322" s="1">
        <v>43908</v>
      </c>
      <c r="C322" t="str">
        <f t="shared" ref="C322:C385" si="22">+TEXT(B322,"mmmm")</f>
        <v>marzo</v>
      </c>
      <c r="D322" t="s">
        <v>99</v>
      </c>
      <c r="E322" t="s">
        <v>26</v>
      </c>
      <c r="G322" t="s">
        <v>100</v>
      </c>
      <c r="H322">
        <v>63.36</v>
      </c>
      <c r="I322">
        <v>309.93</v>
      </c>
      <c r="J322" s="5">
        <f t="shared" ref="J322:J385" si="23">+H322*I322</f>
        <v>19637.164799999999</v>
      </c>
      <c r="K322">
        <v>380</v>
      </c>
      <c r="L322" s="9">
        <f t="shared" ref="L322:L385" si="24">+H322*K322</f>
        <v>24076.799999999999</v>
      </c>
      <c r="M322" s="5">
        <f t="shared" si="21"/>
        <v>4439.6352000000006</v>
      </c>
    </row>
    <row r="323" spans="1:13" hidden="1" x14ac:dyDescent="0.25">
      <c r="A323">
        <v>1</v>
      </c>
      <c r="B323" s="1">
        <v>43923</v>
      </c>
      <c r="C323" t="str">
        <f t="shared" si="22"/>
        <v>abril</v>
      </c>
      <c r="D323" t="s">
        <v>13</v>
      </c>
      <c r="E323" t="s">
        <v>55</v>
      </c>
      <c r="G323" t="s">
        <v>277</v>
      </c>
      <c r="H323">
        <v>2</v>
      </c>
      <c r="I323">
        <v>280</v>
      </c>
      <c r="J323" s="5">
        <f t="shared" si="23"/>
        <v>560</v>
      </c>
      <c r="K323">
        <v>300</v>
      </c>
      <c r="L323" s="9">
        <f t="shared" si="24"/>
        <v>600</v>
      </c>
      <c r="M323" s="5">
        <f t="shared" si="21"/>
        <v>40</v>
      </c>
    </row>
    <row r="324" spans="1:13" hidden="1" x14ac:dyDescent="0.25">
      <c r="A324">
        <v>2</v>
      </c>
      <c r="B324" s="1">
        <v>43923</v>
      </c>
      <c r="C324" t="str">
        <f t="shared" si="22"/>
        <v>abril</v>
      </c>
      <c r="D324" t="s">
        <v>13</v>
      </c>
      <c r="E324" t="s">
        <v>55</v>
      </c>
      <c r="G324" t="s">
        <v>103</v>
      </c>
      <c r="H324">
        <v>20</v>
      </c>
      <c r="I324">
        <v>280</v>
      </c>
      <c r="J324" s="5">
        <f t="shared" si="23"/>
        <v>5600</v>
      </c>
      <c r="K324">
        <v>300</v>
      </c>
      <c r="L324" s="9">
        <f t="shared" si="24"/>
        <v>6000</v>
      </c>
      <c r="M324" s="5">
        <f t="shared" si="21"/>
        <v>400</v>
      </c>
    </row>
    <row r="325" spans="1:13" hidden="1" x14ac:dyDescent="0.25">
      <c r="A325">
        <v>3</v>
      </c>
      <c r="B325" s="1">
        <v>43923</v>
      </c>
      <c r="C325" t="str">
        <f t="shared" si="22"/>
        <v>abril</v>
      </c>
      <c r="D325" t="s">
        <v>13</v>
      </c>
      <c r="E325" t="s">
        <v>55</v>
      </c>
      <c r="G325" t="s">
        <v>318</v>
      </c>
      <c r="H325">
        <v>2</v>
      </c>
      <c r="I325">
        <v>280</v>
      </c>
      <c r="J325" s="5">
        <f t="shared" si="23"/>
        <v>560</v>
      </c>
      <c r="K325">
        <v>300</v>
      </c>
      <c r="L325" s="9">
        <f t="shared" si="24"/>
        <v>600</v>
      </c>
      <c r="M325" s="5">
        <f t="shared" si="21"/>
        <v>40</v>
      </c>
    </row>
    <row r="326" spans="1:13" hidden="1" x14ac:dyDescent="0.25">
      <c r="A326">
        <v>4</v>
      </c>
      <c r="B326" s="1">
        <v>43924</v>
      </c>
      <c r="C326" t="str">
        <f t="shared" si="22"/>
        <v>abril</v>
      </c>
      <c r="D326" t="s">
        <v>13</v>
      </c>
      <c r="E326" t="s">
        <v>55</v>
      </c>
      <c r="G326" t="s">
        <v>108</v>
      </c>
      <c r="H326">
        <v>6</v>
      </c>
      <c r="I326">
        <v>280</v>
      </c>
      <c r="J326" s="5">
        <f t="shared" si="23"/>
        <v>1680</v>
      </c>
      <c r="K326">
        <v>300</v>
      </c>
      <c r="L326" s="9">
        <f t="shared" si="24"/>
        <v>1800</v>
      </c>
      <c r="M326" s="55">
        <f t="shared" si="21"/>
        <v>120</v>
      </c>
    </row>
    <row r="327" spans="1:13" hidden="1" x14ac:dyDescent="0.25">
      <c r="A327">
        <v>5</v>
      </c>
      <c r="B327" s="1">
        <v>43924</v>
      </c>
      <c r="C327" t="str">
        <f t="shared" si="22"/>
        <v>abril</v>
      </c>
      <c r="D327" t="s">
        <v>13</v>
      </c>
      <c r="E327" t="s">
        <v>55</v>
      </c>
      <c r="G327" t="s">
        <v>149</v>
      </c>
      <c r="H327">
        <v>2</v>
      </c>
      <c r="I327">
        <v>280</v>
      </c>
      <c r="J327" s="5">
        <f t="shared" si="23"/>
        <v>560</v>
      </c>
      <c r="K327">
        <v>300</v>
      </c>
      <c r="L327" s="9">
        <f t="shared" si="24"/>
        <v>600</v>
      </c>
      <c r="M327" s="5">
        <f t="shared" si="21"/>
        <v>40</v>
      </c>
    </row>
    <row r="328" spans="1:13" x14ac:dyDescent="0.25">
      <c r="A328">
        <v>6</v>
      </c>
      <c r="B328" s="1">
        <v>43925</v>
      </c>
      <c r="C328" t="str">
        <f t="shared" si="22"/>
        <v>abril</v>
      </c>
      <c r="D328" t="s">
        <v>163</v>
      </c>
      <c r="E328" t="s">
        <v>15</v>
      </c>
      <c r="G328" t="s">
        <v>33</v>
      </c>
      <c r="H328">
        <v>10</v>
      </c>
      <c r="I328">
        <v>204</v>
      </c>
      <c r="J328" s="5">
        <f t="shared" si="23"/>
        <v>2040</v>
      </c>
      <c r="K328">
        <v>230</v>
      </c>
      <c r="L328" s="9">
        <f t="shared" si="24"/>
        <v>2300</v>
      </c>
      <c r="M328" s="5">
        <f t="shared" si="21"/>
        <v>260</v>
      </c>
    </row>
    <row r="329" spans="1:13" x14ac:dyDescent="0.25">
      <c r="A329">
        <v>7</v>
      </c>
      <c r="B329" s="1">
        <v>43925</v>
      </c>
      <c r="C329" t="str">
        <f t="shared" si="22"/>
        <v>abril</v>
      </c>
      <c r="D329" t="s">
        <v>163</v>
      </c>
      <c r="E329" t="s">
        <v>15</v>
      </c>
      <c r="G329" t="s">
        <v>219</v>
      </c>
      <c r="H329">
        <v>10</v>
      </c>
      <c r="I329">
        <v>213</v>
      </c>
      <c r="J329" s="5">
        <f t="shared" si="23"/>
        <v>2130</v>
      </c>
      <c r="K329">
        <v>240</v>
      </c>
      <c r="L329" s="9">
        <f t="shared" si="24"/>
        <v>2400</v>
      </c>
      <c r="M329" s="5">
        <f t="shared" si="21"/>
        <v>270</v>
      </c>
    </row>
    <row r="330" spans="1:13" x14ac:dyDescent="0.25">
      <c r="A330">
        <v>8</v>
      </c>
      <c r="B330" s="1">
        <v>43925</v>
      </c>
      <c r="C330" t="str">
        <f t="shared" si="22"/>
        <v>abril</v>
      </c>
      <c r="D330" t="s">
        <v>163</v>
      </c>
      <c r="E330" t="s">
        <v>15</v>
      </c>
      <c r="G330" t="s">
        <v>31</v>
      </c>
      <c r="H330">
        <v>10</v>
      </c>
      <c r="I330">
        <v>216</v>
      </c>
      <c r="J330" s="5">
        <f t="shared" si="23"/>
        <v>2160</v>
      </c>
      <c r="K330">
        <v>280</v>
      </c>
      <c r="L330" s="9">
        <f t="shared" si="24"/>
        <v>2800</v>
      </c>
      <c r="M330" s="5">
        <f t="shared" si="21"/>
        <v>640</v>
      </c>
    </row>
    <row r="331" spans="1:13" x14ac:dyDescent="0.25">
      <c r="A331">
        <v>9</v>
      </c>
      <c r="B331" s="1">
        <v>43925</v>
      </c>
      <c r="C331" t="str">
        <f t="shared" si="22"/>
        <v>abril</v>
      </c>
      <c r="D331" t="s">
        <v>163</v>
      </c>
      <c r="E331" t="s">
        <v>15</v>
      </c>
      <c r="G331" t="s">
        <v>54</v>
      </c>
      <c r="H331">
        <v>100</v>
      </c>
      <c r="I331">
        <v>214</v>
      </c>
      <c r="J331" s="5">
        <f t="shared" si="23"/>
        <v>21400</v>
      </c>
      <c r="K331">
        <v>240</v>
      </c>
      <c r="L331" s="9">
        <f t="shared" si="24"/>
        <v>24000</v>
      </c>
      <c r="M331" s="5">
        <f t="shared" si="21"/>
        <v>2600</v>
      </c>
    </row>
    <row r="332" spans="1:13" hidden="1" x14ac:dyDescent="0.25">
      <c r="A332">
        <v>10</v>
      </c>
      <c r="B332" s="1">
        <v>43925</v>
      </c>
      <c r="C332" t="str">
        <f t="shared" si="22"/>
        <v>abril</v>
      </c>
      <c r="D332" t="s">
        <v>163</v>
      </c>
      <c r="E332" t="s">
        <v>70</v>
      </c>
      <c r="G332" t="s">
        <v>210</v>
      </c>
      <c r="H332">
        <v>2</v>
      </c>
      <c r="I332">
        <v>228</v>
      </c>
      <c r="J332" s="5">
        <f t="shared" si="23"/>
        <v>456</v>
      </c>
      <c r="K332">
        <v>500</v>
      </c>
      <c r="L332" s="9">
        <f t="shared" si="24"/>
        <v>1000</v>
      </c>
      <c r="M332" s="5">
        <f t="shared" si="21"/>
        <v>544</v>
      </c>
    </row>
    <row r="333" spans="1:13" hidden="1" x14ac:dyDescent="0.25">
      <c r="A333">
        <v>11</v>
      </c>
      <c r="B333" s="1">
        <v>43925</v>
      </c>
      <c r="C333" t="str">
        <f t="shared" si="22"/>
        <v>abril</v>
      </c>
      <c r="D333" t="s">
        <v>163</v>
      </c>
      <c r="E333" t="s">
        <v>25</v>
      </c>
      <c r="G333" t="s">
        <v>172</v>
      </c>
      <c r="H333">
        <v>4</v>
      </c>
      <c r="I333">
        <v>69</v>
      </c>
      <c r="J333" s="5">
        <f t="shared" si="23"/>
        <v>276</v>
      </c>
      <c r="K333">
        <v>100</v>
      </c>
      <c r="L333" s="9">
        <f t="shared" si="24"/>
        <v>400</v>
      </c>
      <c r="M333" s="55">
        <f t="shared" si="21"/>
        <v>124</v>
      </c>
    </row>
    <row r="334" spans="1:13" hidden="1" x14ac:dyDescent="0.25">
      <c r="A334">
        <v>12</v>
      </c>
      <c r="B334" s="1">
        <v>43925</v>
      </c>
      <c r="C334" t="str">
        <f t="shared" si="22"/>
        <v>abril</v>
      </c>
      <c r="D334" t="s">
        <v>163</v>
      </c>
      <c r="E334" t="s">
        <v>25</v>
      </c>
      <c r="G334" t="s">
        <v>173</v>
      </c>
      <c r="H334">
        <v>4</v>
      </c>
      <c r="I334">
        <v>69</v>
      </c>
      <c r="J334" s="5">
        <f t="shared" si="23"/>
        <v>276</v>
      </c>
      <c r="K334">
        <v>100</v>
      </c>
      <c r="L334" s="9">
        <f t="shared" si="24"/>
        <v>400</v>
      </c>
      <c r="M334" s="5">
        <f t="shared" si="21"/>
        <v>124</v>
      </c>
    </row>
    <row r="335" spans="1:13" hidden="1" x14ac:dyDescent="0.25">
      <c r="A335">
        <v>13</v>
      </c>
      <c r="B335" s="1">
        <v>43925</v>
      </c>
      <c r="C335" t="str">
        <f t="shared" si="22"/>
        <v>abril</v>
      </c>
      <c r="D335" t="s">
        <v>163</v>
      </c>
      <c r="E335" t="s">
        <v>25</v>
      </c>
      <c r="G335" t="s">
        <v>145</v>
      </c>
      <c r="H335">
        <v>8</v>
      </c>
      <c r="I335">
        <v>52</v>
      </c>
      <c r="J335" s="5">
        <f t="shared" si="23"/>
        <v>416</v>
      </c>
      <c r="K335">
        <v>100</v>
      </c>
      <c r="L335" s="9">
        <f t="shared" si="24"/>
        <v>800</v>
      </c>
      <c r="M335" s="5">
        <f t="shared" si="21"/>
        <v>384</v>
      </c>
    </row>
    <row r="336" spans="1:13" hidden="1" x14ac:dyDescent="0.25">
      <c r="A336">
        <v>14</v>
      </c>
      <c r="B336" s="1">
        <v>43925</v>
      </c>
      <c r="C336" t="str">
        <f t="shared" si="22"/>
        <v>abril</v>
      </c>
      <c r="D336" t="s">
        <v>163</v>
      </c>
      <c r="E336" t="s">
        <v>25</v>
      </c>
      <c r="G336" t="s">
        <v>170</v>
      </c>
      <c r="H336">
        <v>8</v>
      </c>
      <c r="I336">
        <v>52</v>
      </c>
      <c r="J336" s="5">
        <f t="shared" si="23"/>
        <v>416</v>
      </c>
      <c r="K336">
        <v>100</v>
      </c>
      <c r="L336" s="9">
        <f t="shared" si="24"/>
        <v>800</v>
      </c>
      <c r="M336" s="5">
        <f t="shared" si="21"/>
        <v>384</v>
      </c>
    </row>
    <row r="337" spans="1:13" hidden="1" x14ac:dyDescent="0.25">
      <c r="A337">
        <v>15</v>
      </c>
      <c r="B337" s="1">
        <v>43935</v>
      </c>
      <c r="C337" t="str">
        <f t="shared" si="22"/>
        <v>abril</v>
      </c>
      <c r="D337" t="s">
        <v>167</v>
      </c>
      <c r="E337" t="s">
        <v>55</v>
      </c>
      <c r="G337" t="s">
        <v>146</v>
      </c>
      <c r="H337">
        <v>11</v>
      </c>
      <c r="I337">
        <v>268</v>
      </c>
      <c r="J337" s="5">
        <f t="shared" si="23"/>
        <v>2948</v>
      </c>
      <c r="K337">
        <v>290</v>
      </c>
      <c r="L337" s="9">
        <f t="shared" si="24"/>
        <v>3190</v>
      </c>
      <c r="M337" s="9">
        <f t="shared" si="21"/>
        <v>242</v>
      </c>
    </row>
    <row r="338" spans="1:13" hidden="1" x14ac:dyDescent="0.25">
      <c r="A338">
        <v>16</v>
      </c>
      <c r="B338" s="1">
        <v>43935</v>
      </c>
      <c r="C338" t="str">
        <f t="shared" si="22"/>
        <v>abril</v>
      </c>
      <c r="D338" t="s">
        <v>167</v>
      </c>
      <c r="E338" t="s">
        <v>55</v>
      </c>
      <c r="G338" t="s">
        <v>374</v>
      </c>
      <c r="H338">
        <v>63.72</v>
      </c>
      <c r="I338">
        <v>268</v>
      </c>
      <c r="J338" s="5">
        <f t="shared" si="23"/>
        <v>17076.96</v>
      </c>
      <c r="K338">
        <v>290</v>
      </c>
      <c r="L338" s="9">
        <f t="shared" si="24"/>
        <v>18478.8</v>
      </c>
      <c r="M338" s="9">
        <f t="shared" si="21"/>
        <v>1401.8400000000001</v>
      </c>
    </row>
    <row r="339" spans="1:13" hidden="1" x14ac:dyDescent="0.25">
      <c r="A339">
        <v>17</v>
      </c>
      <c r="B339" s="1">
        <v>43936</v>
      </c>
      <c r="C339" t="str">
        <f t="shared" si="22"/>
        <v>abril</v>
      </c>
      <c r="D339" t="s">
        <v>167</v>
      </c>
      <c r="E339" t="s">
        <v>15</v>
      </c>
      <c r="G339" t="s">
        <v>17</v>
      </c>
      <c r="H339">
        <v>10.98</v>
      </c>
      <c r="I339">
        <v>306</v>
      </c>
      <c r="J339" s="5">
        <f t="shared" si="23"/>
        <v>3359.88</v>
      </c>
      <c r="K339">
        <v>360</v>
      </c>
      <c r="L339" s="9">
        <f t="shared" si="24"/>
        <v>3952.8</v>
      </c>
      <c r="M339" s="9">
        <f t="shared" si="21"/>
        <v>592.92000000000007</v>
      </c>
    </row>
    <row r="340" spans="1:13" hidden="1" x14ac:dyDescent="0.25">
      <c r="A340">
        <v>18</v>
      </c>
      <c r="B340" s="1">
        <v>43936</v>
      </c>
      <c r="C340" t="str">
        <f t="shared" si="22"/>
        <v>abril</v>
      </c>
      <c r="D340" t="s">
        <v>167</v>
      </c>
      <c r="E340" t="s">
        <v>55</v>
      </c>
      <c r="G340" t="s">
        <v>149</v>
      </c>
      <c r="H340">
        <v>10</v>
      </c>
      <c r="I340">
        <v>268</v>
      </c>
      <c r="J340" s="5">
        <f t="shared" si="23"/>
        <v>2680</v>
      </c>
      <c r="K340">
        <v>300</v>
      </c>
      <c r="L340" s="9">
        <f t="shared" si="24"/>
        <v>3000</v>
      </c>
      <c r="M340" s="9">
        <f t="shared" si="21"/>
        <v>320</v>
      </c>
    </row>
    <row r="341" spans="1:13" hidden="1" x14ac:dyDescent="0.25">
      <c r="A341">
        <v>19</v>
      </c>
      <c r="B341" s="1">
        <v>43936</v>
      </c>
      <c r="C341" t="str">
        <f t="shared" si="22"/>
        <v>abril</v>
      </c>
      <c r="D341" t="s">
        <v>167</v>
      </c>
      <c r="E341" t="s">
        <v>70</v>
      </c>
      <c r="G341" t="s">
        <v>290</v>
      </c>
      <c r="H341">
        <v>2</v>
      </c>
      <c r="I341">
        <v>311</v>
      </c>
      <c r="J341" s="5">
        <f t="shared" si="23"/>
        <v>622</v>
      </c>
      <c r="K341">
        <v>400</v>
      </c>
      <c r="L341" s="9">
        <f t="shared" si="24"/>
        <v>800</v>
      </c>
      <c r="M341" s="9">
        <f t="shared" si="21"/>
        <v>178</v>
      </c>
    </row>
    <row r="342" spans="1:13" hidden="1" x14ac:dyDescent="0.25">
      <c r="A342">
        <v>20</v>
      </c>
      <c r="B342" s="1">
        <v>43936</v>
      </c>
      <c r="C342" t="str">
        <f t="shared" si="22"/>
        <v>abril</v>
      </c>
      <c r="D342" t="s">
        <v>167</v>
      </c>
      <c r="E342" t="s">
        <v>55</v>
      </c>
      <c r="G342" t="s">
        <v>277</v>
      </c>
      <c r="H342">
        <v>9.23</v>
      </c>
      <c r="I342">
        <v>268</v>
      </c>
      <c r="J342" s="5">
        <f t="shared" si="23"/>
        <v>2473.6400000000003</v>
      </c>
      <c r="K342">
        <v>300</v>
      </c>
      <c r="L342" s="9">
        <f t="shared" si="24"/>
        <v>2769</v>
      </c>
      <c r="M342" s="9">
        <f t="shared" si="21"/>
        <v>295.35999999999967</v>
      </c>
    </row>
    <row r="343" spans="1:13" hidden="1" x14ac:dyDescent="0.25">
      <c r="A343">
        <v>21</v>
      </c>
      <c r="B343" s="1">
        <v>43937</v>
      </c>
      <c r="C343" t="str">
        <f t="shared" si="22"/>
        <v>abril</v>
      </c>
      <c r="D343" t="s">
        <v>13</v>
      </c>
      <c r="E343" t="s">
        <v>15</v>
      </c>
      <c r="G343" t="s">
        <v>131</v>
      </c>
      <c r="H343">
        <v>7.98</v>
      </c>
      <c r="I343">
        <v>280</v>
      </c>
      <c r="J343" s="5">
        <f t="shared" si="23"/>
        <v>2234.4</v>
      </c>
      <c r="K343">
        <v>300</v>
      </c>
      <c r="L343" s="9">
        <f t="shared" si="24"/>
        <v>2394</v>
      </c>
      <c r="M343" s="5">
        <f t="shared" si="21"/>
        <v>159.59999999999991</v>
      </c>
    </row>
    <row r="344" spans="1:13" hidden="1" x14ac:dyDescent="0.25">
      <c r="A344">
        <v>22</v>
      </c>
      <c r="B344" s="1">
        <v>43937</v>
      </c>
      <c r="C344" t="str">
        <f t="shared" si="22"/>
        <v>abril</v>
      </c>
      <c r="D344" t="s">
        <v>13</v>
      </c>
      <c r="E344" t="s">
        <v>15</v>
      </c>
      <c r="G344" t="s">
        <v>106</v>
      </c>
      <c r="H344">
        <v>1.33</v>
      </c>
      <c r="I344">
        <v>280</v>
      </c>
      <c r="J344" s="5">
        <f t="shared" si="23"/>
        <v>372.40000000000003</v>
      </c>
      <c r="K344">
        <v>300</v>
      </c>
      <c r="L344" s="9">
        <f t="shared" si="24"/>
        <v>399</v>
      </c>
      <c r="M344" s="5">
        <f t="shared" si="21"/>
        <v>26.599999999999966</v>
      </c>
    </row>
    <row r="345" spans="1:13" hidden="1" x14ac:dyDescent="0.25">
      <c r="A345">
        <v>23</v>
      </c>
      <c r="B345" s="1">
        <v>43939</v>
      </c>
      <c r="C345" t="str">
        <f t="shared" si="22"/>
        <v>abril</v>
      </c>
      <c r="D345" t="s">
        <v>163</v>
      </c>
      <c r="E345" t="s">
        <v>25</v>
      </c>
      <c r="G345" t="s">
        <v>145</v>
      </c>
      <c r="H345">
        <v>4</v>
      </c>
      <c r="I345">
        <v>69</v>
      </c>
      <c r="J345" s="5">
        <f t="shared" si="23"/>
        <v>276</v>
      </c>
      <c r="K345">
        <v>100</v>
      </c>
      <c r="L345" s="9">
        <f t="shared" si="24"/>
        <v>400</v>
      </c>
      <c r="M345" s="5">
        <f t="shared" si="21"/>
        <v>124</v>
      </c>
    </row>
    <row r="346" spans="1:13" hidden="1" x14ac:dyDescent="0.25">
      <c r="A346">
        <v>24</v>
      </c>
      <c r="B346" s="1">
        <v>43939</v>
      </c>
      <c r="C346" t="str">
        <f t="shared" si="22"/>
        <v>abril</v>
      </c>
      <c r="D346" t="s">
        <v>163</v>
      </c>
      <c r="E346" t="s">
        <v>25</v>
      </c>
      <c r="G346" t="s">
        <v>172</v>
      </c>
      <c r="H346">
        <v>10</v>
      </c>
      <c r="I346">
        <v>56</v>
      </c>
      <c r="J346" s="5">
        <f t="shared" si="23"/>
        <v>560</v>
      </c>
      <c r="K346">
        <v>100</v>
      </c>
      <c r="L346" s="9">
        <f t="shared" si="24"/>
        <v>1000</v>
      </c>
      <c r="M346" s="55">
        <f t="shared" si="21"/>
        <v>440</v>
      </c>
    </row>
    <row r="347" spans="1:13" hidden="1" x14ac:dyDescent="0.25">
      <c r="A347">
        <v>25</v>
      </c>
      <c r="B347" s="1">
        <v>43939</v>
      </c>
      <c r="C347" t="str">
        <f t="shared" si="22"/>
        <v>abril</v>
      </c>
      <c r="D347" t="s">
        <v>163</v>
      </c>
      <c r="E347" t="s">
        <v>25</v>
      </c>
      <c r="G347" t="s">
        <v>170</v>
      </c>
      <c r="H347">
        <v>4</v>
      </c>
      <c r="I347">
        <v>52</v>
      </c>
      <c r="J347" s="5">
        <f t="shared" si="23"/>
        <v>208</v>
      </c>
      <c r="K347">
        <v>100</v>
      </c>
      <c r="L347" s="9">
        <f t="shared" si="24"/>
        <v>400</v>
      </c>
      <c r="M347" s="5">
        <f t="shared" si="21"/>
        <v>192</v>
      </c>
    </row>
    <row r="348" spans="1:13" hidden="1" x14ac:dyDescent="0.25">
      <c r="A348">
        <v>26</v>
      </c>
      <c r="B348" s="1">
        <v>43939</v>
      </c>
      <c r="C348" t="str">
        <f t="shared" si="22"/>
        <v>abril</v>
      </c>
      <c r="D348" t="s">
        <v>163</v>
      </c>
      <c r="E348" t="s">
        <v>25</v>
      </c>
      <c r="G348" t="s">
        <v>321</v>
      </c>
      <c r="H348">
        <v>4</v>
      </c>
      <c r="I348">
        <v>52</v>
      </c>
      <c r="J348" s="5">
        <f t="shared" si="23"/>
        <v>208</v>
      </c>
      <c r="K348">
        <v>100</v>
      </c>
      <c r="L348" s="9">
        <f t="shared" si="24"/>
        <v>400</v>
      </c>
      <c r="M348" s="55">
        <f t="shared" si="21"/>
        <v>192</v>
      </c>
    </row>
    <row r="349" spans="1:13" x14ac:dyDescent="0.25">
      <c r="A349">
        <v>27</v>
      </c>
      <c r="B349" s="1">
        <v>43939</v>
      </c>
      <c r="C349" t="str">
        <f t="shared" si="22"/>
        <v>abril</v>
      </c>
      <c r="D349" t="s">
        <v>163</v>
      </c>
      <c r="E349" t="s">
        <v>15</v>
      </c>
      <c r="G349" t="s">
        <v>20</v>
      </c>
      <c r="H349">
        <v>50</v>
      </c>
      <c r="I349">
        <v>217</v>
      </c>
      <c r="J349" s="5">
        <f t="shared" si="23"/>
        <v>10850</v>
      </c>
      <c r="K349">
        <v>240</v>
      </c>
      <c r="L349" s="9">
        <f t="shared" si="24"/>
        <v>12000</v>
      </c>
      <c r="M349" s="5">
        <f t="shared" si="21"/>
        <v>1150</v>
      </c>
    </row>
    <row r="350" spans="1:13" x14ac:dyDescent="0.25">
      <c r="A350">
        <v>28</v>
      </c>
      <c r="B350" s="1">
        <v>43939</v>
      </c>
      <c r="C350" t="str">
        <f t="shared" si="22"/>
        <v>abril</v>
      </c>
      <c r="D350" t="s">
        <v>163</v>
      </c>
      <c r="E350" t="s">
        <v>15</v>
      </c>
      <c r="G350" t="s">
        <v>54</v>
      </c>
      <c r="H350">
        <v>100</v>
      </c>
      <c r="I350">
        <v>214</v>
      </c>
      <c r="J350" s="5">
        <f t="shared" si="23"/>
        <v>21400</v>
      </c>
      <c r="K350">
        <v>240</v>
      </c>
      <c r="L350" s="9">
        <f t="shared" si="24"/>
        <v>24000</v>
      </c>
      <c r="M350" s="5">
        <f t="shared" ref="M350:M381" si="25">+L350-J350</f>
        <v>2600</v>
      </c>
    </row>
    <row r="351" spans="1:13" x14ac:dyDescent="0.25">
      <c r="A351">
        <v>29</v>
      </c>
      <c r="B351" s="1">
        <v>43939</v>
      </c>
      <c r="C351" t="str">
        <f t="shared" si="22"/>
        <v>abril</v>
      </c>
      <c r="D351" t="s">
        <v>163</v>
      </c>
      <c r="E351" t="s">
        <v>15</v>
      </c>
      <c r="G351" t="s">
        <v>33</v>
      </c>
      <c r="H351">
        <v>50</v>
      </c>
      <c r="I351">
        <v>204</v>
      </c>
      <c r="J351" s="5">
        <f t="shared" si="23"/>
        <v>10200</v>
      </c>
      <c r="K351">
        <v>230</v>
      </c>
      <c r="L351" s="9">
        <f t="shared" si="24"/>
        <v>11500</v>
      </c>
      <c r="M351" s="5">
        <f t="shared" si="25"/>
        <v>1300</v>
      </c>
    </row>
    <row r="352" spans="1:13" x14ac:dyDescent="0.25">
      <c r="A352">
        <v>30</v>
      </c>
      <c r="B352" s="1">
        <v>43939</v>
      </c>
      <c r="C352" t="str">
        <f t="shared" si="22"/>
        <v>abril</v>
      </c>
      <c r="D352" t="s">
        <v>163</v>
      </c>
      <c r="E352" t="s">
        <v>15</v>
      </c>
      <c r="G352" t="s">
        <v>76</v>
      </c>
      <c r="H352">
        <v>20</v>
      </c>
      <c r="I352">
        <v>201</v>
      </c>
      <c r="J352" s="5">
        <f t="shared" si="23"/>
        <v>4020</v>
      </c>
      <c r="K352">
        <v>230</v>
      </c>
      <c r="L352" s="9">
        <f t="shared" si="24"/>
        <v>4600</v>
      </c>
      <c r="M352" s="5">
        <f t="shared" si="25"/>
        <v>580</v>
      </c>
    </row>
    <row r="353" spans="1:13" x14ac:dyDescent="0.25">
      <c r="A353">
        <v>31</v>
      </c>
      <c r="B353" s="1">
        <v>43939</v>
      </c>
      <c r="C353" t="str">
        <f t="shared" si="22"/>
        <v>abril</v>
      </c>
      <c r="D353" t="s">
        <v>163</v>
      </c>
      <c r="E353" t="s">
        <v>15</v>
      </c>
      <c r="G353" t="s">
        <v>63</v>
      </c>
      <c r="H353">
        <v>19</v>
      </c>
      <c r="I353">
        <v>205</v>
      </c>
      <c r="J353" s="5">
        <f t="shared" si="23"/>
        <v>3895</v>
      </c>
      <c r="K353">
        <v>240</v>
      </c>
      <c r="L353" s="9">
        <f t="shared" si="24"/>
        <v>4560</v>
      </c>
      <c r="M353" s="5">
        <f t="shared" si="25"/>
        <v>665</v>
      </c>
    </row>
    <row r="354" spans="1:13" x14ac:dyDescent="0.25">
      <c r="A354">
        <v>32</v>
      </c>
      <c r="B354" s="1">
        <v>43939</v>
      </c>
      <c r="C354" t="str">
        <f t="shared" si="22"/>
        <v>abril</v>
      </c>
      <c r="D354" t="s">
        <v>163</v>
      </c>
      <c r="E354" t="s">
        <v>15</v>
      </c>
      <c r="G354" t="s">
        <v>31</v>
      </c>
      <c r="H354">
        <v>10</v>
      </c>
      <c r="I354">
        <v>216</v>
      </c>
      <c r="J354" s="5">
        <f t="shared" si="23"/>
        <v>2160</v>
      </c>
      <c r="K354">
        <v>280</v>
      </c>
      <c r="L354" s="9">
        <f t="shared" si="24"/>
        <v>2800</v>
      </c>
      <c r="M354" s="5">
        <f t="shared" si="25"/>
        <v>640</v>
      </c>
    </row>
    <row r="355" spans="1:13" x14ac:dyDescent="0.25">
      <c r="A355">
        <v>33</v>
      </c>
      <c r="B355" s="1">
        <v>43939</v>
      </c>
      <c r="C355" t="str">
        <f t="shared" si="22"/>
        <v>abril</v>
      </c>
      <c r="D355" t="s">
        <v>163</v>
      </c>
      <c r="E355" t="s">
        <v>15</v>
      </c>
      <c r="G355" t="s">
        <v>32</v>
      </c>
      <c r="H355">
        <v>10</v>
      </c>
      <c r="I355">
        <v>216</v>
      </c>
      <c r="J355" s="5">
        <f t="shared" si="23"/>
        <v>2160</v>
      </c>
      <c r="K355">
        <v>280</v>
      </c>
      <c r="L355" s="9">
        <f t="shared" si="24"/>
        <v>2800</v>
      </c>
      <c r="M355" s="5">
        <f t="shared" si="25"/>
        <v>640</v>
      </c>
    </row>
    <row r="356" spans="1:13" x14ac:dyDescent="0.25">
      <c r="A356">
        <v>34</v>
      </c>
      <c r="B356" s="1">
        <v>43939</v>
      </c>
      <c r="C356" t="str">
        <f t="shared" si="22"/>
        <v>abril</v>
      </c>
      <c r="D356" t="s">
        <v>163</v>
      </c>
      <c r="E356" t="s">
        <v>15</v>
      </c>
      <c r="G356" t="s">
        <v>219</v>
      </c>
      <c r="H356">
        <v>10</v>
      </c>
      <c r="I356">
        <v>213</v>
      </c>
      <c r="J356" s="5">
        <f t="shared" si="23"/>
        <v>2130</v>
      </c>
      <c r="K356">
        <v>240</v>
      </c>
      <c r="L356" s="9">
        <f t="shared" si="24"/>
        <v>2400</v>
      </c>
      <c r="M356" s="5">
        <f t="shared" si="25"/>
        <v>270</v>
      </c>
    </row>
    <row r="357" spans="1:13" x14ac:dyDescent="0.25">
      <c r="A357">
        <v>35</v>
      </c>
      <c r="B357" s="1">
        <v>43939</v>
      </c>
      <c r="C357" t="str">
        <f t="shared" si="22"/>
        <v>abril</v>
      </c>
      <c r="D357" t="s">
        <v>163</v>
      </c>
      <c r="E357" t="s">
        <v>15</v>
      </c>
      <c r="G357" t="s">
        <v>29</v>
      </c>
      <c r="H357">
        <v>100</v>
      </c>
      <c r="I357">
        <v>197</v>
      </c>
      <c r="J357" s="5">
        <f t="shared" si="23"/>
        <v>19700</v>
      </c>
      <c r="K357">
        <v>230</v>
      </c>
      <c r="L357" s="9">
        <f t="shared" si="24"/>
        <v>23000</v>
      </c>
      <c r="M357" s="5">
        <f t="shared" si="25"/>
        <v>3300</v>
      </c>
    </row>
    <row r="358" spans="1:13" hidden="1" x14ac:dyDescent="0.25">
      <c r="A358">
        <v>36</v>
      </c>
      <c r="B358" s="1">
        <v>43939</v>
      </c>
      <c r="C358" t="str">
        <f t="shared" si="22"/>
        <v>abril</v>
      </c>
      <c r="D358" t="s">
        <v>163</v>
      </c>
      <c r="E358" t="s">
        <v>56</v>
      </c>
      <c r="G358" t="s">
        <v>171</v>
      </c>
      <c r="H358">
        <v>39</v>
      </c>
      <c r="I358">
        <v>121</v>
      </c>
      <c r="J358" s="5">
        <f t="shared" si="23"/>
        <v>4719</v>
      </c>
      <c r="K358">
        <v>170</v>
      </c>
      <c r="L358" s="9">
        <f t="shared" si="24"/>
        <v>6630</v>
      </c>
      <c r="M358" s="5">
        <f t="shared" si="25"/>
        <v>1911</v>
      </c>
    </row>
    <row r="359" spans="1:13" hidden="1" x14ac:dyDescent="0.25">
      <c r="A359">
        <v>37</v>
      </c>
      <c r="B359" s="1">
        <v>43941</v>
      </c>
      <c r="C359" t="str">
        <f t="shared" si="22"/>
        <v>abril</v>
      </c>
      <c r="D359" t="s">
        <v>187</v>
      </c>
      <c r="E359" t="s">
        <v>23</v>
      </c>
      <c r="G359" t="s">
        <v>43</v>
      </c>
      <c r="H359">
        <v>10</v>
      </c>
      <c r="I359">
        <f>43.91*1.15</f>
        <v>50.49649999999999</v>
      </c>
      <c r="J359" s="5">
        <f t="shared" si="23"/>
        <v>504.96499999999992</v>
      </c>
      <c r="K359">
        <v>60</v>
      </c>
      <c r="L359" s="9">
        <f t="shared" si="24"/>
        <v>600</v>
      </c>
      <c r="M359" s="9">
        <f t="shared" si="25"/>
        <v>95.035000000000082</v>
      </c>
    </row>
    <row r="360" spans="1:13" hidden="1" x14ac:dyDescent="0.25">
      <c r="A360">
        <v>38</v>
      </c>
      <c r="B360" s="1">
        <v>43941</v>
      </c>
      <c r="C360" t="str">
        <f t="shared" si="22"/>
        <v>abril</v>
      </c>
      <c r="D360" t="s">
        <v>187</v>
      </c>
      <c r="E360" t="s">
        <v>23</v>
      </c>
      <c r="G360" t="s">
        <v>66</v>
      </c>
      <c r="H360">
        <v>4</v>
      </c>
      <c r="I360">
        <f>93.04*1.15</f>
        <v>106.996</v>
      </c>
      <c r="J360" s="5">
        <f t="shared" si="23"/>
        <v>427.98399999999998</v>
      </c>
      <c r="K360">
        <v>120</v>
      </c>
      <c r="L360" s="9">
        <f t="shared" si="24"/>
        <v>480</v>
      </c>
      <c r="M360" s="9">
        <f t="shared" si="25"/>
        <v>52.01600000000002</v>
      </c>
    </row>
    <row r="361" spans="1:13" hidden="1" x14ac:dyDescent="0.25">
      <c r="A361">
        <v>39</v>
      </c>
      <c r="B361" s="1">
        <v>43942</v>
      </c>
      <c r="C361" t="str">
        <f t="shared" si="22"/>
        <v>abril</v>
      </c>
      <c r="D361" t="s">
        <v>186</v>
      </c>
      <c r="E361" t="s">
        <v>24</v>
      </c>
      <c r="G361" t="s">
        <v>24</v>
      </c>
      <c r="H361">
        <f>12*3.2</f>
        <v>38.400000000000006</v>
      </c>
      <c r="I361">
        <v>80</v>
      </c>
      <c r="J361" s="5">
        <f t="shared" si="23"/>
        <v>3072.0000000000005</v>
      </c>
      <c r="K361">
        <v>100</v>
      </c>
      <c r="L361" s="9">
        <f t="shared" si="24"/>
        <v>3840.0000000000005</v>
      </c>
      <c r="M361" s="5">
        <f t="shared" si="25"/>
        <v>768</v>
      </c>
    </row>
    <row r="362" spans="1:13" hidden="1" x14ac:dyDescent="0.25">
      <c r="A362">
        <v>40</v>
      </c>
      <c r="B362" s="1">
        <v>43942</v>
      </c>
      <c r="C362" t="str">
        <f t="shared" si="22"/>
        <v>abril</v>
      </c>
      <c r="D362" t="s">
        <v>13</v>
      </c>
      <c r="E362" t="s">
        <v>15</v>
      </c>
      <c r="G362" t="s">
        <v>106</v>
      </c>
      <c r="H362">
        <v>23.94</v>
      </c>
      <c r="I362">
        <v>280</v>
      </c>
      <c r="J362" s="5">
        <f t="shared" si="23"/>
        <v>6703.2000000000007</v>
      </c>
      <c r="K362">
        <v>300</v>
      </c>
      <c r="L362" s="9">
        <f t="shared" si="24"/>
        <v>7182</v>
      </c>
      <c r="M362" s="5">
        <f t="shared" si="25"/>
        <v>478.79999999999927</v>
      </c>
    </row>
    <row r="363" spans="1:13" hidden="1" x14ac:dyDescent="0.25">
      <c r="A363">
        <v>41</v>
      </c>
      <c r="B363" s="1">
        <v>43942</v>
      </c>
      <c r="C363" t="str">
        <f t="shared" si="22"/>
        <v>abril</v>
      </c>
      <c r="D363" t="s">
        <v>13</v>
      </c>
      <c r="E363" t="s">
        <v>24</v>
      </c>
      <c r="G363" t="s">
        <v>24</v>
      </c>
      <c r="H363">
        <v>3.2</v>
      </c>
      <c r="I363">
        <v>89</v>
      </c>
      <c r="J363" s="5">
        <f t="shared" si="23"/>
        <v>284.8</v>
      </c>
      <c r="K363">
        <v>100</v>
      </c>
      <c r="L363" s="9">
        <f t="shared" si="24"/>
        <v>320</v>
      </c>
      <c r="M363" s="5">
        <f t="shared" si="25"/>
        <v>35.199999999999989</v>
      </c>
    </row>
    <row r="364" spans="1:13" hidden="1" x14ac:dyDescent="0.25">
      <c r="A364">
        <v>42</v>
      </c>
      <c r="B364" s="1">
        <v>43942</v>
      </c>
      <c r="C364" t="str">
        <f t="shared" si="22"/>
        <v>abril</v>
      </c>
      <c r="D364" t="s">
        <v>198</v>
      </c>
      <c r="E364" t="s">
        <v>68</v>
      </c>
      <c r="G364" t="s">
        <v>322</v>
      </c>
      <c r="H364">
        <v>3</v>
      </c>
      <c r="I364">
        <v>121.5</v>
      </c>
      <c r="J364" s="5">
        <f t="shared" si="23"/>
        <v>364.5</v>
      </c>
      <c r="K364">
        <v>160</v>
      </c>
      <c r="L364" s="9">
        <f t="shared" si="24"/>
        <v>480</v>
      </c>
      <c r="M364" s="9">
        <f t="shared" si="25"/>
        <v>115.5</v>
      </c>
    </row>
    <row r="365" spans="1:13" hidden="1" x14ac:dyDescent="0.25">
      <c r="A365">
        <v>43</v>
      </c>
      <c r="B365" s="1">
        <v>43942</v>
      </c>
      <c r="C365" t="str">
        <f t="shared" si="22"/>
        <v>abril</v>
      </c>
      <c r="D365" t="s">
        <v>198</v>
      </c>
      <c r="E365" t="s">
        <v>68</v>
      </c>
      <c r="G365" t="s">
        <v>323</v>
      </c>
      <c r="H365">
        <v>3</v>
      </c>
      <c r="I365">
        <v>140</v>
      </c>
      <c r="J365" s="5">
        <f t="shared" si="23"/>
        <v>420</v>
      </c>
      <c r="K365">
        <v>190</v>
      </c>
      <c r="L365" s="9">
        <f t="shared" si="24"/>
        <v>570</v>
      </c>
      <c r="M365" s="9">
        <f t="shared" si="25"/>
        <v>150</v>
      </c>
    </row>
    <row r="366" spans="1:13" hidden="1" x14ac:dyDescent="0.25">
      <c r="A366">
        <v>44</v>
      </c>
      <c r="B366" s="1">
        <v>43942</v>
      </c>
      <c r="C366" t="str">
        <f t="shared" si="22"/>
        <v>abril</v>
      </c>
      <c r="D366" t="s">
        <v>198</v>
      </c>
      <c r="E366" t="s">
        <v>78</v>
      </c>
      <c r="G366" t="s">
        <v>324</v>
      </c>
      <c r="H366">
        <v>1</v>
      </c>
      <c r="I366">
        <v>750</v>
      </c>
      <c r="J366" s="5">
        <f t="shared" si="23"/>
        <v>750</v>
      </c>
      <c r="K366">
        <v>1000</v>
      </c>
      <c r="L366" s="9">
        <f t="shared" si="24"/>
        <v>1000</v>
      </c>
      <c r="M366" s="9">
        <f t="shared" si="25"/>
        <v>250</v>
      </c>
    </row>
    <row r="367" spans="1:13" hidden="1" x14ac:dyDescent="0.25">
      <c r="A367">
        <v>45</v>
      </c>
      <c r="B367" s="1">
        <v>43942</v>
      </c>
      <c r="C367" t="str">
        <f t="shared" si="22"/>
        <v>abril</v>
      </c>
      <c r="D367" t="s">
        <v>198</v>
      </c>
      <c r="E367" t="s">
        <v>70</v>
      </c>
      <c r="G367" t="s">
        <v>325</v>
      </c>
      <c r="H367">
        <v>3</v>
      </c>
      <c r="I367">
        <v>172.01</v>
      </c>
      <c r="J367" s="5">
        <f t="shared" si="23"/>
        <v>516.03</v>
      </c>
      <c r="K367">
        <v>230</v>
      </c>
      <c r="L367" s="9">
        <f t="shared" si="24"/>
        <v>690</v>
      </c>
      <c r="M367" s="9">
        <f t="shared" si="25"/>
        <v>173.97000000000003</v>
      </c>
    </row>
    <row r="368" spans="1:13" hidden="1" x14ac:dyDescent="0.25">
      <c r="A368">
        <v>46</v>
      </c>
      <c r="B368" s="1">
        <v>43942</v>
      </c>
      <c r="C368" t="str">
        <f t="shared" si="22"/>
        <v>abril</v>
      </c>
      <c r="D368" t="s">
        <v>198</v>
      </c>
      <c r="E368" t="s">
        <v>70</v>
      </c>
      <c r="G368" t="s">
        <v>326</v>
      </c>
      <c r="H368">
        <v>3</v>
      </c>
      <c r="I368">
        <v>59</v>
      </c>
      <c r="J368" s="5">
        <f t="shared" si="23"/>
        <v>177</v>
      </c>
      <c r="K368">
        <v>80</v>
      </c>
      <c r="L368" s="9">
        <f t="shared" si="24"/>
        <v>240</v>
      </c>
      <c r="M368" s="9">
        <f t="shared" si="25"/>
        <v>63</v>
      </c>
    </row>
    <row r="369" spans="1:13" hidden="1" x14ac:dyDescent="0.25">
      <c r="A369">
        <v>47</v>
      </c>
      <c r="B369" s="1">
        <v>43942</v>
      </c>
      <c r="C369" t="str">
        <f t="shared" si="22"/>
        <v>abril</v>
      </c>
      <c r="D369" t="s">
        <v>198</v>
      </c>
      <c r="E369" t="s">
        <v>85</v>
      </c>
      <c r="G369" t="s">
        <v>327</v>
      </c>
      <c r="H369">
        <v>3</v>
      </c>
      <c r="I369">
        <v>191</v>
      </c>
      <c r="J369" s="5">
        <f t="shared" si="23"/>
        <v>573</v>
      </c>
      <c r="K369">
        <v>250</v>
      </c>
      <c r="L369" s="9">
        <f t="shared" si="24"/>
        <v>750</v>
      </c>
      <c r="M369" s="9">
        <f t="shared" si="25"/>
        <v>177</v>
      </c>
    </row>
    <row r="370" spans="1:13" hidden="1" x14ac:dyDescent="0.25">
      <c r="A370">
        <v>48</v>
      </c>
      <c r="B370" s="1">
        <v>43942</v>
      </c>
      <c r="C370" t="str">
        <f t="shared" si="22"/>
        <v>abril</v>
      </c>
      <c r="D370" t="s">
        <v>198</v>
      </c>
      <c r="E370" t="s">
        <v>85</v>
      </c>
      <c r="G370" t="s">
        <v>328</v>
      </c>
      <c r="H370">
        <v>3</v>
      </c>
      <c r="I370">
        <v>210</v>
      </c>
      <c r="J370" s="5">
        <f t="shared" si="23"/>
        <v>630</v>
      </c>
      <c r="K370">
        <v>280</v>
      </c>
      <c r="L370" s="9">
        <f t="shared" si="24"/>
        <v>840</v>
      </c>
      <c r="M370" s="9">
        <f t="shared" si="25"/>
        <v>210</v>
      </c>
    </row>
    <row r="371" spans="1:13" hidden="1" x14ac:dyDescent="0.25">
      <c r="A371">
        <v>49</v>
      </c>
      <c r="B371" s="1">
        <v>43942</v>
      </c>
      <c r="C371" t="str">
        <f t="shared" si="22"/>
        <v>abril</v>
      </c>
      <c r="D371" t="s">
        <v>198</v>
      </c>
      <c r="E371" t="s">
        <v>85</v>
      </c>
      <c r="G371" t="s">
        <v>197</v>
      </c>
      <c r="H371">
        <v>5</v>
      </c>
      <c r="I371">
        <v>72</v>
      </c>
      <c r="J371" s="5">
        <f t="shared" si="23"/>
        <v>360</v>
      </c>
      <c r="K371">
        <v>100</v>
      </c>
      <c r="L371" s="9">
        <f t="shared" si="24"/>
        <v>500</v>
      </c>
      <c r="M371" s="9">
        <f t="shared" si="25"/>
        <v>140</v>
      </c>
    </row>
    <row r="372" spans="1:13" hidden="1" x14ac:dyDescent="0.25">
      <c r="A372">
        <v>50</v>
      </c>
      <c r="B372" s="1">
        <v>43942</v>
      </c>
      <c r="C372" t="str">
        <f t="shared" si="22"/>
        <v>abril</v>
      </c>
      <c r="D372" t="s">
        <v>198</v>
      </c>
      <c r="E372" t="s">
        <v>85</v>
      </c>
      <c r="G372" t="s">
        <v>329</v>
      </c>
      <c r="H372">
        <v>6</v>
      </c>
      <c r="I372">
        <v>40.5</v>
      </c>
      <c r="J372" s="5">
        <f t="shared" si="23"/>
        <v>243</v>
      </c>
      <c r="K372">
        <v>60</v>
      </c>
      <c r="L372" s="9">
        <f t="shared" si="24"/>
        <v>360</v>
      </c>
      <c r="M372" s="9">
        <f t="shared" si="25"/>
        <v>117</v>
      </c>
    </row>
    <row r="373" spans="1:13" hidden="1" x14ac:dyDescent="0.25">
      <c r="A373">
        <v>51</v>
      </c>
      <c r="B373" s="1">
        <v>43942</v>
      </c>
      <c r="C373" t="str">
        <f t="shared" si="22"/>
        <v>abril</v>
      </c>
      <c r="D373" t="s">
        <v>198</v>
      </c>
      <c r="E373" t="s">
        <v>85</v>
      </c>
      <c r="G373" t="s">
        <v>330</v>
      </c>
      <c r="H373">
        <v>2</v>
      </c>
      <c r="I373">
        <v>62</v>
      </c>
      <c r="J373" s="5">
        <f t="shared" si="23"/>
        <v>124</v>
      </c>
      <c r="K373">
        <v>80</v>
      </c>
      <c r="L373" s="9">
        <f t="shared" si="24"/>
        <v>160</v>
      </c>
      <c r="M373" s="9">
        <f t="shared" si="25"/>
        <v>36</v>
      </c>
    </row>
    <row r="374" spans="1:13" hidden="1" x14ac:dyDescent="0.25">
      <c r="A374">
        <v>52</v>
      </c>
      <c r="B374" s="1">
        <v>43943</v>
      </c>
      <c r="C374" t="str">
        <f t="shared" si="22"/>
        <v>abril</v>
      </c>
      <c r="D374" t="s">
        <v>99</v>
      </c>
      <c r="E374" t="s">
        <v>26</v>
      </c>
      <c r="G374" t="s">
        <v>100</v>
      </c>
      <c r="H374">
        <v>4.32</v>
      </c>
      <c r="I374">
        <v>309.93</v>
      </c>
      <c r="J374" s="5">
        <f t="shared" si="23"/>
        <v>1338.8976</v>
      </c>
      <c r="K374">
        <v>380</v>
      </c>
      <c r="L374" s="9">
        <f t="shared" si="24"/>
        <v>1641.6000000000001</v>
      </c>
      <c r="M374" s="5">
        <f t="shared" si="25"/>
        <v>302.70240000000013</v>
      </c>
    </row>
    <row r="375" spans="1:13" hidden="1" x14ac:dyDescent="0.25">
      <c r="A375">
        <v>53</v>
      </c>
      <c r="B375" s="1">
        <v>43943</v>
      </c>
      <c r="C375" t="str">
        <f t="shared" si="22"/>
        <v>abril</v>
      </c>
      <c r="D375" t="s">
        <v>99</v>
      </c>
      <c r="E375" t="s">
        <v>26</v>
      </c>
      <c r="G375" t="s">
        <v>101</v>
      </c>
      <c r="H375">
        <v>1.44</v>
      </c>
      <c r="I375">
        <v>355.14</v>
      </c>
      <c r="J375" s="5">
        <f t="shared" si="23"/>
        <v>511.40159999999997</v>
      </c>
      <c r="K375">
        <v>425</v>
      </c>
      <c r="L375" s="9">
        <f t="shared" si="24"/>
        <v>612</v>
      </c>
      <c r="M375" s="5">
        <f t="shared" si="25"/>
        <v>100.59840000000003</v>
      </c>
    </row>
    <row r="376" spans="1:13" hidden="1" x14ac:dyDescent="0.25">
      <c r="A376">
        <v>54</v>
      </c>
      <c r="B376" s="1">
        <v>43943</v>
      </c>
      <c r="C376" t="str">
        <f t="shared" si="22"/>
        <v>abril</v>
      </c>
      <c r="D376" t="s">
        <v>13</v>
      </c>
      <c r="E376" t="s">
        <v>55</v>
      </c>
      <c r="G376" t="s">
        <v>22</v>
      </c>
      <c r="H376">
        <v>4.2300000000000004</v>
      </c>
      <c r="I376">
        <v>280</v>
      </c>
      <c r="J376" s="5">
        <f t="shared" si="23"/>
        <v>1184.4000000000001</v>
      </c>
      <c r="K376">
        <v>300</v>
      </c>
      <c r="L376" s="9">
        <f t="shared" si="24"/>
        <v>1269.0000000000002</v>
      </c>
      <c r="M376" s="5">
        <f t="shared" si="25"/>
        <v>84.600000000000136</v>
      </c>
    </row>
    <row r="377" spans="1:13" hidden="1" x14ac:dyDescent="0.25">
      <c r="A377">
        <v>55</v>
      </c>
      <c r="B377" s="1">
        <v>43944</v>
      </c>
      <c r="C377" t="str">
        <f t="shared" si="22"/>
        <v>abril</v>
      </c>
      <c r="D377" t="s">
        <v>13</v>
      </c>
      <c r="E377" t="s">
        <v>55</v>
      </c>
      <c r="G377" t="s">
        <v>22</v>
      </c>
      <c r="H377">
        <v>5.64</v>
      </c>
      <c r="I377">
        <v>280</v>
      </c>
      <c r="J377" s="5">
        <f t="shared" si="23"/>
        <v>1579.1999999999998</v>
      </c>
      <c r="K377">
        <v>300</v>
      </c>
      <c r="L377" s="9">
        <f t="shared" si="24"/>
        <v>1692</v>
      </c>
      <c r="M377" s="5">
        <f t="shared" si="25"/>
        <v>112.80000000000018</v>
      </c>
    </row>
    <row r="378" spans="1:13" hidden="1" x14ac:dyDescent="0.25">
      <c r="A378">
        <v>56</v>
      </c>
      <c r="B378" s="1">
        <v>43944</v>
      </c>
      <c r="C378" t="str">
        <f t="shared" si="22"/>
        <v>abril</v>
      </c>
      <c r="D378" t="s">
        <v>99</v>
      </c>
      <c r="E378" t="s">
        <v>26</v>
      </c>
      <c r="G378" t="s">
        <v>100</v>
      </c>
      <c r="H378">
        <v>1.44</v>
      </c>
      <c r="I378">
        <v>312</v>
      </c>
      <c r="J378" s="5">
        <f t="shared" si="23"/>
        <v>449.28</v>
      </c>
      <c r="K378">
        <v>380</v>
      </c>
      <c r="L378" s="9">
        <f t="shared" si="24"/>
        <v>547.19999999999993</v>
      </c>
      <c r="M378" s="9">
        <f t="shared" si="25"/>
        <v>97.919999999999959</v>
      </c>
    </row>
    <row r="379" spans="1:13" hidden="1" x14ac:dyDescent="0.25">
      <c r="A379">
        <v>57</v>
      </c>
      <c r="B379" s="1">
        <v>43946</v>
      </c>
      <c r="C379" t="str">
        <f t="shared" si="22"/>
        <v>abril</v>
      </c>
      <c r="D379" t="s">
        <v>13</v>
      </c>
      <c r="E379" t="s">
        <v>15</v>
      </c>
      <c r="G379" t="s">
        <v>131</v>
      </c>
      <c r="H379">
        <v>3.99</v>
      </c>
      <c r="I379">
        <v>280</v>
      </c>
      <c r="J379" s="5">
        <f t="shared" si="23"/>
        <v>1117.2</v>
      </c>
      <c r="K379">
        <v>300</v>
      </c>
      <c r="L379" s="9">
        <f t="shared" si="24"/>
        <v>1197</v>
      </c>
      <c r="M379" s="5">
        <f t="shared" si="25"/>
        <v>79.799999999999955</v>
      </c>
    </row>
    <row r="380" spans="1:13" hidden="1" x14ac:dyDescent="0.25">
      <c r="A380">
        <v>58</v>
      </c>
      <c r="B380" s="1">
        <v>43946</v>
      </c>
      <c r="C380" t="str">
        <f t="shared" si="22"/>
        <v>abril</v>
      </c>
      <c r="D380" t="s">
        <v>13</v>
      </c>
      <c r="E380" t="s">
        <v>15</v>
      </c>
      <c r="G380" t="s">
        <v>312</v>
      </c>
      <c r="H380">
        <v>3.99</v>
      </c>
      <c r="I380">
        <v>280</v>
      </c>
      <c r="J380" s="5">
        <f t="shared" si="23"/>
        <v>1117.2</v>
      </c>
      <c r="K380">
        <v>300</v>
      </c>
      <c r="L380" s="9">
        <f t="shared" si="24"/>
        <v>1197</v>
      </c>
      <c r="M380" s="5">
        <f t="shared" si="25"/>
        <v>79.799999999999955</v>
      </c>
    </row>
    <row r="381" spans="1:13" hidden="1" x14ac:dyDescent="0.25">
      <c r="A381">
        <v>1</v>
      </c>
      <c r="B381" s="1">
        <v>43958</v>
      </c>
      <c r="C381" t="str">
        <f t="shared" si="22"/>
        <v>mayo</v>
      </c>
      <c r="D381" t="s">
        <v>167</v>
      </c>
      <c r="E381" t="s">
        <v>15</v>
      </c>
      <c r="G381" t="s">
        <v>343</v>
      </c>
      <c r="H381">
        <v>10</v>
      </c>
      <c r="I381">
        <v>219</v>
      </c>
      <c r="J381" s="5">
        <f t="shared" si="23"/>
        <v>2190</v>
      </c>
      <c r="K381">
        <v>280</v>
      </c>
      <c r="L381" s="9">
        <f t="shared" si="24"/>
        <v>2800</v>
      </c>
      <c r="M381" s="9">
        <f t="shared" si="25"/>
        <v>610</v>
      </c>
    </row>
    <row r="382" spans="1:13" hidden="1" x14ac:dyDescent="0.25">
      <c r="A382">
        <v>2</v>
      </c>
      <c r="B382" s="1">
        <v>43958</v>
      </c>
      <c r="C382" t="str">
        <f t="shared" si="22"/>
        <v>mayo</v>
      </c>
      <c r="D382" t="s">
        <v>167</v>
      </c>
      <c r="E382" t="s">
        <v>15</v>
      </c>
      <c r="G382" t="s">
        <v>346</v>
      </c>
      <c r="H382">
        <v>10</v>
      </c>
      <c r="I382">
        <v>219</v>
      </c>
      <c r="J382" s="5">
        <f t="shared" si="23"/>
        <v>2190</v>
      </c>
      <c r="K382">
        <v>280</v>
      </c>
      <c r="L382" s="9">
        <f t="shared" si="24"/>
        <v>2800</v>
      </c>
      <c r="M382" s="9">
        <f t="shared" ref="M382:M413" si="26">+L382-J382</f>
        <v>610</v>
      </c>
    </row>
    <row r="383" spans="1:13" hidden="1" x14ac:dyDescent="0.25">
      <c r="A383">
        <v>3</v>
      </c>
      <c r="B383" s="1">
        <v>43958</v>
      </c>
      <c r="C383" t="str">
        <f t="shared" si="22"/>
        <v>mayo</v>
      </c>
      <c r="D383" t="s">
        <v>167</v>
      </c>
      <c r="E383" t="s">
        <v>15</v>
      </c>
      <c r="G383" t="s">
        <v>359</v>
      </c>
      <c r="H383">
        <v>20.399999999999999</v>
      </c>
      <c r="I383">
        <v>219</v>
      </c>
      <c r="J383" s="5">
        <f t="shared" si="23"/>
        <v>4467.5999999999995</v>
      </c>
      <c r="K383">
        <v>280</v>
      </c>
      <c r="L383" s="9">
        <f t="shared" si="24"/>
        <v>5712</v>
      </c>
      <c r="M383" s="9">
        <f t="shared" si="26"/>
        <v>1244.4000000000005</v>
      </c>
    </row>
    <row r="384" spans="1:13" hidden="1" x14ac:dyDescent="0.25">
      <c r="A384">
        <v>4</v>
      </c>
      <c r="B384" s="1">
        <v>43958</v>
      </c>
      <c r="C384" t="str">
        <f t="shared" si="22"/>
        <v>mayo</v>
      </c>
      <c r="D384" t="s">
        <v>167</v>
      </c>
      <c r="E384" t="s">
        <v>55</v>
      </c>
      <c r="G384" t="s">
        <v>254</v>
      </c>
      <c r="H384">
        <v>2</v>
      </c>
      <c r="I384">
        <v>268</v>
      </c>
      <c r="J384" s="5">
        <f t="shared" si="23"/>
        <v>536</v>
      </c>
      <c r="K384">
        <v>300</v>
      </c>
      <c r="L384" s="9">
        <f t="shared" si="24"/>
        <v>600</v>
      </c>
      <c r="M384" s="9">
        <f t="shared" si="26"/>
        <v>64</v>
      </c>
    </row>
    <row r="385" spans="1:13" hidden="1" x14ac:dyDescent="0.25">
      <c r="A385">
        <v>5</v>
      </c>
      <c r="B385" s="1">
        <v>43958</v>
      </c>
      <c r="C385" t="str">
        <f t="shared" si="22"/>
        <v>mayo</v>
      </c>
      <c r="D385" t="s">
        <v>167</v>
      </c>
      <c r="E385" t="s">
        <v>70</v>
      </c>
      <c r="G385" t="s">
        <v>284</v>
      </c>
      <c r="H385">
        <v>1</v>
      </c>
      <c r="I385">
        <v>1707</v>
      </c>
      <c r="J385" s="5">
        <f t="shared" si="23"/>
        <v>1707</v>
      </c>
      <c r="K385">
        <v>1950</v>
      </c>
      <c r="L385" s="9">
        <f t="shared" si="24"/>
        <v>1950</v>
      </c>
      <c r="M385" s="9">
        <f t="shared" si="26"/>
        <v>243</v>
      </c>
    </row>
    <row r="386" spans="1:13" hidden="1" x14ac:dyDescent="0.25">
      <c r="A386">
        <v>6</v>
      </c>
      <c r="B386" s="1">
        <v>43958</v>
      </c>
      <c r="C386" t="str">
        <f t="shared" ref="C386:C449" si="27">+TEXT(B386,"mmmm")</f>
        <v>mayo</v>
      </c>
      <c r="D386" t="s">
        <v>167</v>
      </c>
      <c r="E386" t="s">
        <v>85</v>
      </c>
      <c r="G386" t="s">
        <v>377</v>
      </c>
      <c r="H386">
        <v>1</v>
      </c>
      <c r="I386">
        <v>751</v>
      </c>
      <c r="J386" s="5">
        <f t="shared" ref="J386:J449" si="28">+H386*I386</f>
        <v>751</v>
      </c>
      <c r="K386">
        <v>900</v>
      </c>
      <c r="L386" s="9">
        <f t="shared" ref="L386:L449" si="29">+H386*K386</f>
        <v>900</v>
      </c>
      <c r="M386" s="9">
        <f t="shared" si="26"/>
        <v>149</v>
      </c>
    </row>
    <row r="387" spans="1:13" hidden="1" x14ac:dyDescent="0.25">
      <c r="A387">
        <v>7</v>
      </c>
      <c r="B387" s="1">
        <v>43958</v>
      </c>
      <c r="C387" t="str">
        <f t="shared" si="27"/>
        <v>mayo</v>
      </c>
      <c r="D387" t="s">
        <v>167</v>
      </c>
      <c r="E387" t="s">
        <v>15</v>
      </c>
      <c r="G387" t="s">
        <v>106</v>
      </c>
      <c r="H387">
        <v>20</v>
      </c>
      <c r="I387">
        <v>268</v>
      </c>
      <c r="J387" s="5">
        <f t="shared" si="28"/>
        <v>5360</v>
      </c>
      <c r="K387">
        <v>300</v>
      </c>
      <c r="L387" s="9">
        <f t="shared" si="29"/>
        <v>6000</v>
      </c>
      <c r="M387" s="9">
        <f t="shared" si="26"/>
        <v>640</v>
      </c>
    </row>
    <row r="388" spans="1:13" hidden="1" x14ac:dyDescent="0.25">
      <c r="A388">
        <v>8</v>
      </c>
      <c r="B388" s="1">
        <v>43958</v>
      </c>
      <c r="C388" t="str">
        <f t="shared" si="27"/>
        <v>mayo</v>
      </c>
      <c r="D388" t="s">
        <v>167</v>
      </c>
      <c r="E388" t="s">
        <v>55</v>
      </c>
      <c r="G388" t="s">
        <v>22</v>
      </c>
      <c r="H388">
        <v>21.4</v>
      </c>
      <c r="I388">
        <v>268</v>
      </c>
      <c r="J388" s="5">
        <f t="shared" si="28"/>
        <v>5735.2</v>
      </c>
      <c r="K388">
        <v>300</v>
      </c>
      <c r="L388" s="9">
        <f t="shared" si="29"/>
        <v>6420</v>
      </c>
      <c r="M388" s="9">
        <f t="shared" si="26"/>
        <v>684.80000000000018</v>
      </c>
    </row>
    <row r="389" spans="1:13" hidden="1" x14ac:dyDescent="0.25">
      <c r="A389">
        <v>9</v>
      </c>
      <c r="B389" s="1">
        <v>43958</v>
      </c>
      <c r="C389" t="str">
        <f t="shared" si="27"/>
        <v>mayo</v>
      </c>
      <c r="D389" t="s">
        <v>167</v>
      </c>
      <c r="E389" t="s">
        <v>55</v>
      </c>
      <c r="G389" t="s">
        <v>111</v>
      </c>
      <c r="H389">
        <v>10</v>
      </c>
      <c r="I389">
        <v>268</v>
      </c>
      <c r="J389" s="5">
        <f t="shared" si="28"/>
        <v>2680</v>
      </c>
      <c r="K389">
        <v>300</v>
      </c>
      <c r="L389" s="9">
        <f t="shared" si="29"/>
        <v>3000</v>
      </c>
      <c r="M389" s="9">
        <f t="shared" si="26"/>
        <v>320</v>
      </c>
    </row>
    <row r="390" spans="1:13" hidden="1" x14ac:dyDescent="0.25">
      <c r="A390">
        <v>10</v>
      </c>
      <c r="B390" s="1">
        <v>43958</v>
      </c>
      <c r="C390" t="str">
        <f t="shared" si="27"/>
        <v>mayo</v>
      </c>
      <c r="D390" t="s">
        <v>167</v>
      </c>
      <c r="E390" t="s">
        <v>55</v>
      </c>
      <c r="G390" t="s">
        <v>14</v>
      </c>
      <c r="H390">
        <v>11.32</v>
      </c>
      <c r="I390">
        <v>268</v>
      </c>
      <c r="J390" s="5">
        <f t="shared" si="28"/>
        <v>3033.76</v>
      </c>
      <c r="K390">
        <v>300</v>
      </c>
      <c r="L390" s="9">
        <f t="shared" si="29"/>
        <v>3396</v>
      </c>
      <c r="M390" s="9">
        <f t="shared" si="26"/>
        <v>362.23999999999978</v>
      </c>
    </row>
    <row r="391" spans="1:13" hidden="1" x14ac:dyDescent="0.25">
      <c r="A391">
        <v>11</v>
      </c>
      <c r="B391" s="1">
        <v>43958</v>
      </c>
      <c r="C391" t="str">
        <f t="shared" si="27"/>
        <v>mayo</v>
      </c>
      <c r="D391" t="s">
        <v>167</v>
      </c>
      <c r="E391" t="s">
        <v>55</v>
      </c>
      <c r="G391" t="s">
        <v>135</v>
      </c>
      <c r="H391">
        <v>10</v>
      </c>
      <c r="I391">
        <v>268</v>
      </c>
      <c r="J391" s="5">
        <f t="shared" si="28"/>
        <v>2680</v>
      </c>
      <c r="K391">
        <v>300</v>
      </c>
      <c r="L391" s="9">
        <f t="shared" si="29"/>
        <v>3000</v>
      </c>
      <c r="M391" s="9">
        <f t="shared" si="26"/>
        <v>320</v>
      </c>
    </row>
    <row r="392" spans="1:13" hidden="1" x14ac:dyDescent="0.25">
      <c r="A392">
        <v>12</v>
      </c>
      <c r="B392" s="1">
        <v>43958</v>
      </c>
      <c r="C392" t="str">
        <f t="shared" si="27"/>
        <v>mayo</v>
      </c>
      <c r="D392" t="s">
        <v>167</v>
      </c>
      <c r="E392" t="s">
        <v>55</v>
      </c>
      <c r="G392" t="s">
        <v>313</v>
      </c>
      <c r="H392">
        <v>20</v>
      </c>
      <c r="I392">
        <v>207</v>
      </c>
      <c r="J392" s="5">
        <f t="shared" si="28"/>
        <v>4140</v>
      </c>
      <c r="K392">
        <v>280</v>
      </c>
      <c r="L392" s="9">
        <f t="shared" si="29"/>
        <v>5600</v>
      </c>
      <c r="M392" s="9">
        <f t="shared" si="26"/>
        <v>1460</v>
      </c>
    </row>
    <row r="393" spans="1:13" hidden="1" x14ac:dyDescent="0.25">
      <c r="A393">
        <v>13</v>
      </c>
      <c r="B393" s="1">
        <v>43958</v>
      </c>
      <c r="C393" t="str">
        <f t="shared" si="27"/>
        <v>mayo</v>
      </c>
      <c r="D393" t="s">
        <v>167</v>
      </c>
      <c r="E393" t="s">
        <v>55</v>
      </c>
      <c r="G393" t="s">
        <v>378</v>
      </c>
      <c r="H393">
        <v>20</v>
      </c>
      <c r="I393">
        <v>207</v>
      </c>
      <c r="J393" s="5">
        <f t="shared" si="28"/>
        <v>4140</v>
      </c>
      <c r="K393">
        <v>280</v>
      </c>
      <c r="L393" s="9">
        <f t="shared" si="29"/>
        <v>5600</v>
      </c>
      <c r="M393" s="9">
        <f t="shared" si="26"/>
        <v>1460</v>
      </c>
    </row>
    <row r="394" spans="1:13" hidden="1" x14ac:dyDescent="0.25">
      <c r="A394">
        <v>14</v>
      </c>
      <c r="B394" s="1">
        <v>43960</v>
      </c>
      <c r="C394" t="str">
        <f t="shared" si="27"/>
        <v>mayo</v>
      </c>
      <c r="D394" t="s">
        <v>167</v>
      </c>
      <c r="E394" t="s">
        <v>70</v>
      </c>
      <c r="G394" t="s">
        <v>227</v>
      </c>
      <c r="H394">
        <v>10</v>
      </c>
      <c r="I394">
        <v>1440</v>
      </c>
      <c r="J394" s="5">
        <f t="shared" si="28"/>
        <v>14400</v>
      </c>
      <c r="K394">
        <v>1650</v>
      </c>
      <c r="L394" s="9">
        <f t="shared" si="29"/>
        <v>16500</v>
      </c>
      <c r="M394" s="9">
        <f t="shared" si="26"/>
        <v>2100</v>
      </c>
    </row>
    <row r="395" spans="1:13" hidden="1" x14ac:dyDescent="0.25">
      <c r="A395">
        <v>15</v>
      </c>
      <c r="B395" s="1">
        <v>43960</v>
      </c>
      <c r="C395" t="str">
        <f t="shared" si="27"/>
        <v>mayo</v>
      </c>
      <c r="D395" t="s">
        <v>167</v>
      </c>
      <c r="E395" t="s">
        <v>23</v>
      </c>
      <c r="G395" t="s">
        <v>190</v>
      </c>
      <c r="H395">
        <v>2</v>
      </c>
      <c r="I395">
        <v>360</v>
      </c>
      <c r="J395" s="5">
        <f t="shared" si="28"/>
        <v>720</v>
      </c>
      <c r="K395">
        <v>600</v>
      </c>
      <c r="L395" s="9">
        <f t="shared" si="29"/>
        <v>1200</v>
      </c>
      <c r="M395" s="9">
        <f t="shared" si="26"/>
        <v>480</v>
      </c>
    </row>
    <row r="396" spans="1:13" hidden="1" x14ac:dyDescent="0.25">
      <c r="A396">
        <v>16</v>
      </c>
      <c r="B396" s="1">
        <v>43960</v>
      </c>
      <c r="C396" t="str">
        <f t="shared" si="27"/>
        <v>mayo</v>
      </c>
      <c r="D396" t="s">
        <v>167</v>
      </c>
      <c r="E396" t="s">
        <v>78</v>
      </c>
      <c r="G396" t="s">
        <v>376</v>
      </c>
      <c r="H396">
        <v>1</v>
      </c>
      <c r="I396">
        <v>1302</v>
      </c>
      <c r="J396" s="5">
        <f t="shared" si="28"/>
        <v>1302</v>
      </c>
      <c r="K396">
        <v>1550</v>
      </c>
      <c r="L396" s="9">
        <f t="shared" si="29"/>
        <v>1550</v>
      </c>
      <c r="M396" s="9">
        <f t="shared" si="26"/>
        <v>248</v>
      </c>
    </row>
    <row r="397" spans="1:13" hidden="1" x14ac:dyDescent="0.25">
      <c r="A397">
        <v>17</v>
      </c>
      <c r="B397" s="1">
        <v>43960</v>
      </c>
      <c r="C397" t="str">
        <f t="shared" si="27"/>
        <v>mayo</v>
      </c>
      <c r="D397" t="s">
        <v>167</v>
      </c>
      <c r="E397" t="s">
        <v>78</v>
      </c>
      <c r="G397" t="s">
        <v>376</v>
      </c>
      <c r="H397">
        <v>1</v>
      </c>
      <c r="I397">
        <v>1330</v>
      </c>
      <c r="J397" s="5">
        <f t="shared" si="28"/>
        <v>1330</v>
      </c>
      <c r="K397">
        <v>1550</v>
      </c>
      <c r="L397" s="9">
        <f t="shared" si="29"/>
        <v>1550</v>
      </c>
      <c r="M397" s="9">
        <f t="shared" si="26"/>
        <v>220</v>
      </c>
    </row>
    <row r="398" spans="1:13" hidden="1" x14ac:dyDescent="0.25">
      <c r="A398">
        <v>18</v>
      </c>
      <c r="B398" s="1">
        <v>43960</v>
      </c>
      <c r="C398" t="str">
        <f t="shared" si="27"/>
        <v>mayo</v>
      </c>
      <c r="D398" t="s">
        <v>167</v>
      </c>
      <c r="E398" t="s">
        <v>70</v>
      </c>
      <c r="G398" t="s">
        <v>284</v>
      </c>
      <c r="H398">
        <v>1</v>
      </c>
      <c r="I398">
        <v>1707</v>
      </c>
      <c r="J398" s="5">
        <f t="shared" si="28"/>
        <v>1707</v>
      </c>
      <c r="K398">
        <v>1950</v>
      </c>
      <c r="L398" s="9">
        <f t="shared" si="29"/>
        <v>1950</v>
      </c>
      <c r="M398" s="9">
        <f t="shared" si="26"/>
        <v>243</v>
      </c>
    </row>
    <row r="399" spans="1:13" hidden="1" x14ac:dyDescent="0.25">
      <c r="A399">
        <v>19</v>
      </c>
      <c r="B399" s="1">
        <v>43960</v>
      </c>
      <c r="C399" t="str">
        <f t="shared" si="27"/>
        <v>mayo</v>
      </c>
      <c r="D399" t="s">
        <v>167</v>
      </c>
      <c r="E399" t="s">
        <v>70</v>
      </c>
      <c r="G399" t="s">
        <v>191</v>
      </c>
      <c r="H399">
        <v>1</v>
      </c>
      <c r="I399">
        <v>1707</v>
      </c>
      <c r="J399" s="5">
        <f t="shared" si="28"/>
        <v>1707</v>
      </c>
      <c r="K399">
        <v>1950</v>
      </c>
      <c r="L399" s="9">
        <f t="shared" si="29"/>
        <v>1950</v>
      </c>
      <c r="M399" s="9">
        <f t="shared" si="26"/>
        <v>243</v>
      </c>
    </row>
    <row r="400" spans="1:13" hidden="1" x14ac:dyDescent="0.25">
      <c r="A400">
        <v>20</v>
      </c>
      <c r="B400" s="1">
        <v>43962</v>
      </c>
      <c r="C400" t="str">
        <f t="shared" si="27"/>
        <v>mayo</v>
      </c>
      <c r="D400" t="s">
        <v>198</v>
      </c>
      <c r="E400" t="s">
        <v>44</v>
      </c>
      <c r="G400" t="s">
        <v>133</v>
      </c>
      <c r="H400">
        <v>50</v>
      </c>
      <c r="I400">
        <v>22.27</v>
      </c>
      <c r="J400" s="5">
        <f t="shared" si="28"/>
        <v>1113.5</v>
      </c>
      <c r="K400">
        <v>35</v>
      </c>
      <c r="L400" s="9">
        <f t="shared" si="29"/>
        <v>1750</v>
      </c>
      <c r="M400" s="9">
        <f t="shared" si="26"/>
        <v>636.5</v>
      </c>
    </row>
    <row r="401" spans="1:13" hidden="1" x14ac:dyDescent="0.25">
      <c r="A401">
        <v>21</v>
      </c>
      <c r="B401" s="1">
        <v>43962</v>
      </c>
      <c r="C401" t="str">
        <f t="shared" si="27"/>
        <v>mayo</v>
      </c>
      <c r="D401" t="s">
        <v>198</v>
      </c>
      <c r="E401" t="s">
        <v>44</v>
      </c>
      <c r="G401" t="s">
        <v>138</v>
      </c>
      <c r="H401">
        <v>50</v>
      </c>
      <c r="I401">
        <v>28.17</v>
      </c>
      <c r="J401" s="5">
        <f t="shared" si="28"/>
        <v>1408.5</v>
      </c>
      <c r="K401">
        <v>35</v>
      </c>
      <c r="L401" s="9">
        <f t="shared" si="29"/>
        <v>1750</v>
      </c>
      <c r="M401" s="9">
        <f t="shared" si="26"/>
        <v>341.5</v>
      </c>
    </row>
    <row r="402" spans="1:13" x14ac:dyDescent="0.25">
      <c r="A402">
        <v>22</v>
      </c>
      <c r="B402" s="1">
        <v>43974</v>
      </c>
      <c r="C402" t="str">
        <f t="shared" si="27"/>
        <v>mayo</v>
      </c>
      <c r="D402" t="s">
        <v>163</v>
      </c>
      <c r="E402" t="s">
        <v>15</v>
      </c>
      <c r="G402" t="s">
        <v>29</v>
      </c>
      <c r="H402">
        <v>50</v>
      </c>
      <c r="I402">
        <v>197.13</v>
      </c>
      <c r="J402" s="5">
        <f t="shared" si="28"/>
        <v>9856.5</v>
      </c>
      <c r="K402">
        <v>230</v>
      </c>
      <c r="L402" s="9">
        <f t="shared" si="29"/>
        <v>11500</v>
      </c>
      <c r="M402" s="9">
        <f t="shared" si="26"/>
        <v>1643.5</v>
      </c>
    </row>
    <row r="403" spans="1:13" x14ac:dyDescent="0.25">
      <c r="A403">
        <v>23</v>
      </c>
      <c r="B403" s="1">
        <v>43974</v>
      </c>
      <c r="C403" t="str">
        <f t="shared" si="27"/>
        <v>mayo</v>
      </c>
      <c r="D403" t="s">
        <v>163</v>
      </c>
      <c r="E403" t="s">
        <v>15</v>
      </c>
      <c r="G403" t="s">
        <v>20</v>
      </c>
      <c r="H403">
        <v>50</v>
      </c>
      <c r="I403">
        <v>217.27</v>
      </c>
      <c r="J403" s="5">
        <f t="shared" si="28"/>
        <v>10863.5</v>
      </c>
      <c r="K403">
        <v>240</v>
      </c>
      <c r="L403" s="9">
        <f t="shared" si="29"/>
        <v>12000</v>
      </c>
      <c r="M403" s="9">
        <f t="shared" si="26"/>
        <v>1136.5</v>
      </c>
    </row>
    <row r="404" spans="1:13" hidden="1" x14ac:dyDescent="0.25">
      <c r="A404">
        <v>24</v>
      </c>
      <c r="B404" s="1">
        <v>43974</v>
      </c>
      <c r="C404" t="str">
        <f t="shared" si="27"/>
        <v>mayo</v>
      </c>
      <c r="D404" t="s">
        <v>163</v>
      </c>
      <c r="E404" t="s">
        <v>56</v>
      </c>
      <c r="G404" t="s">
        <v>171</v>
      </c>
      <c r="H404">
        <v>87</v>
      </c>
      <c r="I404">
        <v>120.66</v>
      </c>
      <c r="J404" s="5">
        <f t="shared" si="28"/>
        <v>10497.42</v>
      </c>
      <c r="K404">
        <v>170</v>
      </c>
      <c r="L404" s="9">
        <f t="shared" si="29"/>
        <v>14790</v>
      </c>
      <c r="M404" s="9">
        <f t="shared" si="26"/>
        <v>4292.58</v>
      </c>
    </row>
    <row r="405" spans="1:13" x14ac:dyDescent="0.25">
      <c r="A405">
        <v>25</v>
      </c>
      <c r="B405" s="1">
        <v>43974</v>
      </c>
      <c r="C405" t="str">
        <f t="shared" si="27"/>
        <v>mayo</v>
      </c>
      <c r="D405" t="s">
        <v>163</v>
      </c>
      <c r="E405" t="s">
        <v>15</v>
      </c>
      <c r="G405" t="s">
        <v>31</v>
      </c>
      <c r="H405">
        <v>10</v>
      </c>
      <c r="I405">
        <v>215.69</v>
      </c>
      <c r="J405" s="5">
        <f t="shared" si="28"/>
        <v>2156.9</v>
      </c>
      <c r="K405">
        <v>280</v>
      </c>
      <c r="L405" s="9">
        <f t="shared" si="29"/>
        <v>2800</v>
      </c>
      <c r="M405" s="9">
        <f t="shared" si="26"/>
        <v>643.09999999999991</v>
      </c>
    </row>
    <row r="406" spans="1:13" hidden="1" x14ac:dyDescent="0.25">
      <c r="A406">
        <v>26</v>
      </c>
      <c r="B406" s="1">
        <v>43974</v>
      </c>
      <c r="C406" t="str">
        <f t="shared" si="27"/>
        <v>mayo</v>
      </c>
      <c r="D406" t="s">
        <v>163</v>
      </c>
      <c r="E406" t="s">
        <v>23</v>
      </c>
      <c r="G406" t="s">
        <v>364</v>
      </c>
      <c r="H406">
        <v>10</v>
      </c>
      <c r="I406">
        <v>262.2</v>
      </c>
      <c r="J406" s="5">
        <f t="shared" si="28"/>
        <v>2622</v>
      </c>
      <c r="K406">
        <v>290</v>
      </c>
      <c r="L406" s="9">
        <f t="shared" si="29"/>
        <v>2900</v>
      </c>
      <c r="M406" s="9">
        <f t="shared" si="26"/>
        <v>278</v>
      </c>
    </row>
    <row r="407" spans="1:13" hidden="1" x14ac:dyDescent="0.25">
      <c r="A407">
        <v>27</v>
      </c>
      <c r="B407" s="1">
        <v>43974</v>
      </c>
      <c r="C407" t="str">
        <f t="shared" si="27"/>
        <v>mayo</v>
      </c>
      <c r="D407" t="s">
        <v>163</v>
      </c>
      <c r="E407" t="s">
        <v>25</v>
      </c>
      <c r="G407" t="s">
        <v>173</v>
      </c>
      <c r="H407">
        <v>5</v>
      </c>
      <c r="I407">
        <v>59</v>
      </c>
      <c r="J407" s="5">
        <f t="shared" si="28"/>
        <v>295</v>
      </c>
      <c r="K407">
        <v>100</v>
      </c>
      <c r="L407" s="9">
        <f t="shared" si="29"/>
        <v>500</v>
      </c>
      <c r="M407" s="9">
        <f t="shared" si="26"/>
        <v>205</v>
      </c>
    </row>
    <row r="408" spans="1:13" hidden="1" x14ac:dyDescent="0.25">
      <c r="A408">
        <v>28</v>
      </c>
      <c r="B408" s="1">
        <v>43974</v>
      </c>
      <c r="C408" t="str">
        <f t="shared" si="27"/>
        <v>mayo</v>
      </c>
      <c r="D408" t="s">
        <v>163</v>
      </c>
      <c r="E408" t="s">
        <v>25</v>
      </c>
      <c r="G408" t="s">
        <v>145</v>
      </c>
      <c r="H408">
        <v>6</v>
      </c>
      <c r="I408">
        <v>69</v>
      </c>
      <c r="J408" s="5">
        <f t="shared" si="28"/>
        <v>414</v>
      </c>
      <c r="K408">
        <v>100</v>
      </c>
      <c r="L408" s="9">
        <f t="shared" si="29"/>
        <v>600</v>
      </c>
      <c r="M408" s="9">
        <f t="shared" si="26"/>
        <v>186</v>
      </c>
    </row>
    <row r="409" spans="1:13" hidden="1" x14ac:dyDescent="0.25">
      <c r="A409">
        <v>29</v>
      </c>
      <c r="B409" s="1">
        <v>43974</v>
      </c>
      <c r="C409" t="str">
        <f t="shared" si="27"/>
        <v>mayo</v>
      </c>
      <c r="D409" t="s">
        <v>198</v>
      </c>
      <c r="E409" t="s">
        <v>44</v>
      </c>
      <c r="G409" t="s">
        <v>138</v>
      </c>
      <c r="H409">
        <v>3</v>
      </c>
      <c r="I409">
        <v>26.41</v>
      </c>
      <c r="J409" s="5">
        <f t="shared" si="28"/>
        <v>79.23</v>
      </c>
      <c r="K409">
        <v>35</v>
      </c>
      <c r="L409" s="9">
        <f t="shared" si="29"/>
        <v>105</v>
      </c>
      <c r="M409" s="9">
        <f t="shared" si="26"/>
        <v>25.769999999999996</v>
      </c>
    </row>
    <row r="410" spans="1:13" hidden="1" x14ac:dyDescent="0.25">
      <c r="A410">
        <v>30</v>
      </c>
      <c r="B410" s="1">
        <v>43974</v>
      </c>
      <c r="C410" t="str">
        <f t="shared" si="27"/>
        <v>mayo</v>
      </c>
      <c r="D410" t="s">
        <v>167</v>
      </c>
      <c r="E410" t="s">
        <v>55</v>
      </c>
      <c r="G410" t="s">
        <v>254</v>
      </c>
      <c r="H410">
        <v>2</v>
      </c>
      <c r="I410">
        <v>268</v>
      </c>
      <c r="J410" s="5">
        <f t="shared" si="28"/>
        <v>536</v>
      </c>
      <c r="K410">
        <v>300</v>
      </c>
      <c r="L410" s="9">
        <f t="shared" si="29"/>
        <v>600</v>
      </c>
      <c r="M410" s="9">
        <f t="shared" si="26"/>
        <v>64</v>
      </c>
    </row>
    <row r="411" spans="1:13" hidden="1" x14ac:dyDescent="0.25">
      <c r="A411">
        <v>31</v>
      </c>
      <c r="B411" s="1">
        <v>43974</v>
      </c>
      <c r="C411" t="str">
        <f t="shared" si="27"/>
        <v>mayo</v>
      </c>
      <c r="D411" t="s">
        <v>167</v>
      </c>
      <c r="E411" t="s">
        <v>15</v>
      </c>
      <c r="G411" t="s">
        <v>346</v>
      </c>
      <c r="H411">
        <v>23.5</v>
      </c>
      <c r="I411">
        <v>219</v>
      </c>
      <c r="J411" s="5">
        <f t="shared" si="28"/>
        <v>5146.5</v>
      </c>
      <c r="K411">
        <v>280</v>
      </c>
      <c r="L411" s="9">
        <f t="shared" si="29"/>
        <v>6580</v>
      </c>
      <c r="M411" s="9">
        <f t="shared" si="26"/>
        <v>1433.5</v>
      </c>
    </row>
    <row r="412" spans="1:13" hidden="1" x14ac:dyDescent="0.25">
      <c r="A412">
        <v>32</v>
      </c>
      <c r="B412" s="1">
        <v>43974</v>
      </c>
      <c r="C412" t="str">
        <f t="shared" si="27"/>
        <v>mayo</v>
      </c>
      <c r="D412" t="s">
        <v>167</v>
      </c>
      <c r="E412" t="s">
        <v>15</v>
      </c>
      <c r="G412" t="s">
        <v>356</v>
      </c>
      <c r="H412">
        <v>10</v>
      </c>
      <c r="I412">
        <v>207</v>
      </c>
      <c r="J412" s="5">
        <f t="shared" si="28"/>
        <v>2070</v>
      </c>
      <c r="K412">
        <v>240</v>
      </c>
      <c r="L412" s="9">
        <f t="shared" si="29"/>
        <v>2400</v>
      </c>
      <c r="M412" s="9">
        <f t="shared" si="26"/>
        <v>330</v>
      </c>
    </row>
    <row r="413" spans="1:13" hidden="1" x14ac:dyDescent="0.25">
      <c r="A413">
        <v>33</v>
      </c>
      <c r="B413" s="1">
        <v>43974</v>
      </c>
      <c r="C413" t="str">
        <f t="shared" si="27"/>
        <v>mayo</v>
      </c>
      <c r="D413" t="s">
        <v>167</v>
      </c>
      <c r="E413" t="s">
        <v>15</v>
      </c>
      <c r="G413" t="s">
        <v>357</v>
      </c>
      <c r="H413">
        <v>30</v>
      </c>
      <c r="I413">
        <v>207</v>
      </c>
      <c r="J413" s="5">
        <f t="shared" si="28"/>
        <v>6210</v>
      </c>
      <c r="K413">
        <v>240</v>
      </c>
      <c r="L413" s="9">
        <f t="shared" si="29"/>
        <v>7200</v>
      </c>
      <c r="M413" s="9">
        <f t="shared" si="26"/>
        <v>990</v>
      </c>
    </row>
    <row r="414" spans="1:13" hidden="1" x14ac:dyDescent="0.25">
      <c r="A414">
        <v>34</v>
      </c>
      <c r="B414" s="1">
        <v>43977</v>
      </c>
      <c r="C414" t="str">
        <f t="shared" si="27"/>
        <v>mayo</v>
      </c>
      <c r="D414" t="s">
        <v>99</v>
      </c>
      <c r="E414" t="s">
        <v>26</v>
      </c>
      <c r="G414" t="s">
        <v>100</v>
      </c>
      <c r="H414">
        <v>53.28</v>
      </c>
      <c r="I414">
        <f>16657.5/53.28</f>
        <v>312.64076576576576</v>
      </c>
      <c r="J414" s="5">
        <f t="shared" si="28"/>
        <v>16657.5</v>
      </c>
      <c r="K414">
        <v>380</v>
      </c>
      <c r="L414" s="9">
        <f t="shared" si="29"/>
        <v>20246.400000000001</v>
      </c>
      <c r="M414" s="9">
        <f t="shared" ref="M414:M415" si="30">+L414-J414</f>
        <v>3588.9000000000015</v>
      </c>
    </row>
    <row r="415" spans="1:13" hidden="1" x14ac:dyDescent="0.25">
      <c r="A415">
        <v>1</v>
      </c>
      <c r="B415" s="1">
        <v>43986</v>
      </c>
      <c r="C415" t="str">
        <f t="shared" si="27"/>
        <v>junio</v>
      </c>
      <c r="D415" t="s">
        <v>166</v>
      </c>
      <c r="E415" t="s">
        <v>78</v>
      </c>
      <c r="G415" t="s">
        <v>362</v>
      </c>
      <c r="H415">
        <v>4</v>
      </c>
      <c r="I415">
        <v>434</v>
      </c>
      <c r="J415" s="5">
        <f t="shared" si="28"/>
        <v>1736</v>
      </c>
      <c r="K415">
        <v>650</v>
      </c>
      <c r="L415" s="9">
        <f t="shared" si="29"/>
        <v>2600</v>
      </c>
      <c r="M415" s="9">
        <f t="shared" si="30"/>
        <v>864</v>
      </c>
    </row>
    <row r="416" spans="1:13" hidden="1" x14ac:dyDescent="0.25">
      <c r="A416">
        <v>2</v>
      </c>
      <c r="B416" s="1">
        <v>43986</v>
      </c>
      <c r="C416" t="str">
        <f t="shared" si="27"/>
        <v>junio</v>
      </c>
      <c r="D416" t="s">
        <v>166</v>
      </c>
      <c r="E416" t="s">
        <v>92</v>
      </c>
      <c r="G416" t="s">
        <v>363</v>
      </c>
      <c r="H416">
        <v>6</v>
      </c>
      <c r="I416">
        <v>35</v>
      </c>
      <c r="J416" s="5">
        <f t="shared" si="28"/>
        <v>210</v>
      </c>
      <c r="L416" s="9">
        <f t="shared" si="29"/>
        <v>0</v>
      </c>
      <c r="M416" s="9"/>
    </row>
    <row r="417" spans="1:13" hidden="1" x14ac:dyDescent="0.25">
      <c r="A417">
        <v>3</v>
      </c>
      <c r="B417" s="1">
        <v>43986</v>
      </c>
      <c r="C417" t="str">
        <f t="shared" si="27"/>
        <v>junio</v>
      </c>
      <c r="D417" t="s">
        <v>166</v>
      </c>
      <c r="E417" t="s">
        <v>92</v>
      </c>
      <c r="G417" t="s">
        <v>182</v>
      </c>
      <c r="H417">
        <v>12</v>
      </c>
      <c r="I417">
        <v>94</v>
      </c>
      <c r="J417" s="5">
        <f t="shared" si="28"/>
        <v>1128</v>
      </c>
      <c r="K417">
        <v>150</v>
      </c>
      <c r="L417" s="9">
        <f t="shared" si="29"/>
        <v>1800</v>
      </c>
      <c r="M417" s="9">
        <f t="shared" ref="M417:M448" si="31">+L417-J417</f>
        <v>672</v>
      </c>
    </row>
    <row r="418" spans="1:13" hidden="1" x14ac:dyDescent="0.25">
      <c r="A418">
        <v>4</v>
      </c>
      <c r="B418" s="1">
        <v>43986</v>
      </c>
      <c r="C418" t="str">
        <f t="shared" si="27"/>
        <v>junio</v>
      </c>
      <c r="D418" t="s">
        <v>167</v>
      </c>
      <c r="E418" t="s">
        <v>55</v>
      </c>
      <c r="G418" t="s">
        <v>370</v>
      </c>
      <c r="H418">
        <v>10</v>
      </c>
      <c r="I418">
        <v>268</v>
      </c>
      <c r="J418" s="5">
        <f t="shared" si="28"/>
        <v>2680</v>
      </c>
      <c r="K418">
        <v>300</v>
      </c>
      <c r="L418" s="9">
        <f t="shared" si="29"/>
        <v>3000</v>
      </c>
      <c r="M418" s="9">
        <f t="shared" si="31"/>
        <v>320</v>
      </c>
    </row>
    <row r="419" spans="1:13" hidden="1" x14ac:dyDescent="0.25">
      <c r="A419">
        <v>5</v>
      </c>
      <c r="B419" s="1">
        <v>43986</v>
      </c>
      <c r="C419" t="str">
        <f t="shared" si="27"/>
        <v>junio</v>
      </c>
      <c r="D419" t="s">
        <v>167</v>
      </c>
      <c r="E419" t="s">
        <v>55</v>
      </c>
      <c r="G419" t="s">
        <v>371</v>
      </c>
      <c r="H419">
        <v>2</v>
      </c>
      <c r="I419">
        <v>268</v>
      </c>
      <c r="J419" s="5">
        <f t="shared" si="28"/>
        <v>536</v>
      </c>
      <c r="K419">
        <v>300</v>
      </c>
      <c r="L419" s="9">
        <f t="shared" si="29"/>
        <v>600</v>
      </c>
      <c r="M419" s="9">
        <f t="shared" si="31"/>
        <v>64</v>
      </c>
    </row>
    <row r="420" spans="1:13" hidden="1" x14ac:dyDescent="0.25">
      <c r="A420">
        <v>6</v>
      </c>
      <c r="B420" s="1">
        <v>43986</v>
      </c>
      <c r="C420" t="str">
        <f t="shared" si="27"/>
        <v>junio</v>
      </c>
      <c r="D420" t="s">
        <v>167</v>
      </c>
      <c r="E420" t="s">
        <v>55</v>
      </c>
      <c r="G420" t="s">
        <v>149</v>
      </c>
      <c r="H420">
        <v>10</v>
      </c>
      <c r="I420">
        <v>268</v>
      </c>
      <c r="J420" s="5">
        <f t="shared" si="28"/>
        <v>2680</v>
      </c>
      <c r="K420">
        <v>300</v>
      </c>
      <c r="L420" s="9">
        <f t="shared" si="29"/>
        <v>3000</v>
      </c>
      <c r="M420" s="9">
        <f t="shared" si="31"/>
        <v>320</v>
      </c>
    </row>
    <row r="421" spans="1:13" hidden="1" x14ac:dyDescent="0.25">
      <c r="A421">
        <v>7</v>
      </c>
      <c r="B421" s="1">
        <v>43986</v>
      </c>
      <c r="C421" t="str">
        <f t="shared" si="27"/>
        <v>junio</v>
      </c>
      <c r="D421" t="s">
        <v>167</v>
      </c>
      <c r="E421" t="s">
        <v>55</v>
      </c>
      <c r="G421" t="s">
        <v>372</v>
      </c>
      <c r="H421">
        <v>11.32</v>
      </c>
      <c r="I421">
        <v>268</v>
      </c>
      <c r="J421" s="5">
        <f t="shared" si="28"/>
        <v>3033.76</v>
      </c>
      <c r="K421">
        <v>300</v>
      </c>
      <c r="L421" s="9">
        <f t="shared" si="29"/>
        <v>3396</v>
      </c>
      <c r="M421" s="9">
        <f t="shared" si="31"/>
        <v>362.23999999999978</v>
      </c>
    </row>
    <row r="422" spans="1:13" hidden="1" x14ac:dyDescent="0.25">
      <c r="A422">
        <v>8</v>
      </c>
      <c r="B422" s="1">
        <v>43986</v>
      </c>
      <c r="C422" t="str">
        <f t="shared" si="27"/>
        <v>junio</v>
      </c>
      <c r="D422" t="s">
        <v>167</v>
      </c>
      <c r="E422" t="s">
        <v>55</v>
      </c>
      <c r="G422" t="s">
        <v>373</v>
      </c>
      <c r="H422">
        <v>5.66</v>
      </c>
      <c r="I422">
        <v>268</v>
      </c>
      <c r="J422" s="5">
        <f t="shared" si="28"/>
        <v>1516.88</v>
      </c>
      <c r="K422">
        <v>300</v>
      </c>
      <c r="L422" s="9">
        <f t="shared" si="29"/>
        <v>1698</v>
      </c>
      <c r="M422" s="9">
        <f t="shared" si="31"/>
        <v>181.11999999999989</v>
      </c>
    </row>
    <row r="423" spans="1:13" hidden="1" x14ac:dyDescent="0.25">
      <c r="A423">
        <v>9</v>
      </c>
      <c r="B423" s="1">
        <v>43986</v>
      </c>
      <c r="C423" t="str">
        <f t="shared" si="27"/>
        <v>junio</v>
      </c>
      <c r="D423" t="s">
        <v>167</v>
      </c>
      <c r="E423" t="s">
        <v>55</v>
      </c>
      <c r="G423" t="s">
        <v>374</v>
      </c>
      <c r="H423">
        <v>11.32</v>
      </c>
      <c r="I423">
        <v>268</v>
      </c>
      <c r="J423" s="5">
        <f t="shared" si="28"/>
        <v>3033.76</v>
      </c>
      <c r="K423">
        <v>300</v>
      </c>
      <c r="L423" s="9">
        <f t="shared" si="29"/>
        <v>3396</v>
      </c>
      <c r="M423" s="9">
        <f t="shared" si="31"/>
        <v>362.23999999999978</v>
      </c>
    </row>
    <row r="424" spans="1:13" hidden="1" x14ac:dyDescent="0.25">
      <c r="A424">
        <v>10</v>
      </c>
      <c r="B424" s="1">
        <v>43986</v>
      </c>
      <c r="C424" t="str">
        <f t="shared" si="27"/>
        <v>junio</v>
      </c>
      <c r="D424" t="s">
        <v>167</v>
      </c>
      <c r="E424" t="s">
        <v>55</v>
      </c>
      <c r="G424" t="s">
        <v>146</v>
      </c>
      <c r="H424">
        <v>2.83</v>
      </c>
      <c r="I424">
        <v>268</v>
      </c>
      <c r="J424" s="5">
        <f t="shared" si="28"/>
        <v>758.44</v>
      </c>
      <c r="K424">
        <v>300</v>
      </c>
      <c r="L424" s="9">
        <f t="shared" si="29"/>
        <v>849</v>
      </c>
      <c r="M424" s="9">
        <f t="shared" si="31"/>
        <v>90.559999999999945</v>
      </c>
    </row>
    <row r="425" spans="1:13" hidden="1" x14ac:dyDescent="0.25">
      <c r="A425">
        <v>11</v>
      </c>
      <c r="B425" s="1">
        <v>43986</v>
      </c>
      <c r="C425" t="str">
        <f t="shared" si="27"/>
        <v>junio</v>
      </c>
      <c r="D425" t="s">
        <v>167</v>
      </c>
      <c r="E425" t="s">
        <v>15</v>
      </c>
      <c r="G425" t="s">
        <v>356</v>
      </c>
      <c r="H425">
        <v>20</v>
      </c>
      <c r="I425">
        <v>206</v>
      </c>
      <c r="J425" s="5">
        <f t="shared" si="28"/>
        <v>4120</v>
      </c>
      <c r="K425">
        <v>240</v>
      </c>
      <c r="L425" s="9">
        <f t="shared" si="29"/>
        <v>4800</v>
      </c>
      <c r="M425" s="9">
        <f t="shared" si="31"/>
        <v>680</v>
      </c>
    </row>
    <row r="426" spans="1:13" hidden="1" x14ac:dyDescent="0.25">
      <c r="A426">
        <v>12</v>
      </c>
      <c r="B426" s="1">
        <v>43986</v>
      </c>
      <c r="C426" t="str">
        <f t="shared" si="27"/>
        <v>junio</v>
      </c>
      <c r="D426" t="s">
        <v>167</v>
      </c>
      <c r="E426" t="s">
        <v>15</v>
      </c>
      <c r="G426" t="s">
        <v>106</v>
      </c>
      <c r="H426">
        <v>20</v>
      </c>
      <c r="I426">
        <v>268</v>
      </c>
      <c r="J426" s="5">
        <f t="shared" si="28"/>
        <v>5360</v>
      </c>
      <c r="K426">
        <v>300</v>
      </c>
      <c r="L426" s="9">
        <f t="shared" si="29"/>
        <v>6000</v>
      </c>
      <c r="M426" s="9">
        <f t="shared" si="31"/>
        <v>640</v>
      </c>
    </row>
    <row r="427" spans="1:13" hidden="1" x14ac:dyDescent="0.25">
      <c r="A427">
        <v>13</v>
      </c>
      <c r="B427" s="1">
        <v>43986</v>
      </c>
      <c r="C427" t="str">
        <f t="shared" si="27"/>
        <v>junio</v>
      </c>
      <c r="D427" t="s">
        <v>167</v>
      </c>
      <c r="E427" t="s">
        <v>15</v>
      </c>
      <c r="G427" t="s">
        <v>346</v>
      </c>
      <c r="H427">
        <v>10</v>
      </c>
      <c r="I427">
        <v>219</v>
      </c>
      <c r="J427" s="5">
        <f t="shared" si="28"/>
        <v>2190</v>
      </c>
      <c r="K427">
        <v>280</v>
      </c>
      <c r="L427" s="9">
        <f t="shared" si="29"/>
        <v>2800</v>
      </c>
      <c r="M427" s="9">
        <f t="shared" si="31"/>
        <v>610</v>
      </c>
    </row>
    <row r="428" spans="1:13" hidden="1" x14ac:dyDescent="0.25">
      <c r="A428">
        <v>14</v>
      </c>
      <c r="B428" s="1">
        <v>43986</v>
      </c>
      <c r="C428" t="str">
        <f t="shared" si="27"/>
        <v>junio</v>
      </c>
      <c r="D428" t="s">
        <v>167</v>
      </c>
      <c r="E428" t="s">
        <v>70</v>
      </c>
      <c r="G428" t="s">
        <v>284</v>
      </c>
      <c r="H428">
        <v>1</v>
      </c>
      <c r="I428">
        <v>1707</v>
      </c>
      <c r="J428" s="5">
        <f t="shared" si="28"/>
        <v>1707</v>
      </c>
      <c r="K428">
        <v>1950</v>
      </c>
      <c r="L428" s="9">
        <f t="shared" si="29"/>
        <v>1950</v>
      </c>
      <c r="M428" s="9">
        <f t="shared" si="31"/>
        <v>243</v>
      </c>
    </row>
    <row r="429" spans="1:13" hidden="1" x14ac:dyDescent="0.25">
      <c r="A429">
        <v>15</v>
      </c>
      <c r="B429" s="1">
        <v>43986</v>
      </c>
      <c r="C429" t="str">
        <f t="shared" si="27"/>
        <v>junio</v>
      </c>
      <c r="D429" t="s">
        <v>167</v>
      </c>
      <c r="E429" t="s">
        <v>85</v>
      </c>
      <c r="G429" t="s">
        <v>375</v>
      </c>
      <c r="H429">
        <v>1</v>
      </c>
      <c r="I429">
        <f>2445-1707</f>
        <v>738</v>
      </c>
      <c r="J429" s="5">
        <f t="shared" si="28"/>
        <v>738</v>
      </c>
      <c r="K429">
        <v>1200</v>
      </c>
      <c r="L429" s="9">
        <f t="shared" si="29"/>
        <v>1200</v>
      </c>
      <c r="M429" s="9">
        <f t="shared" si="31"/>
        <v>462</v>
      </c>
    </row>
    <row r="430" spans="1:13" hidden="1" x14ac:dyDescent="0.25">
      <c r="A430">
        <v>16</v>
      </c>
      <c r="B430" s="1">
        <v>43986</v>
      </c>
      <c r="C430" t="str">
        <f t="shared" si="27"/>
        <v>junio</v>
      </c>
      <c r="D430" t="s">
        <v>167</v>
      </c>
      <c r="E430" t="s">
        <v>85</v>
      </c>
      <c r="G430" t="s">
        <v>280</v>
      </c>
      <c r="H430">
        <v>1</v>
      </c>
      <c r="I430">
        <v>789</v>
      </c>
      <c r="J430" s="5">
        <f t="shared" si="28"/>
        <v>789</v>
      </c>
      <c r="K430">
        <v>900</v>
      </c>
      <c r="L430" s="9">
        <f t="shared" si="29"/>
        <v>900</v>
      </c>
      <c r="M430" s="9">
        <f t="shared" si="31"/>
        <v>111</v>
      </c>
    </row>
    <row r="431" spans="1:13" hidden="1" x14ac:dyDescent="0.25">
      <c r="A431">
        <v>17</v>
      </c>
      <c r="B431" s="1">
        <v>43986</v>
      </c>
      <c r="C431" t="str">
        <f t="shared" si="27"/>
        <v>junio</v>
      </c>
      <c r="D431" t="s">
        <v>167</v>
      </c>
      <c r="E431" t="s">
        <v>78</v>
      </c>
      <c r="G431" t="s">
        <v>376</v>
      </c>
      <c r="H431">
        <v>1</v>
      </c>
      <c r="I431">
        <v>1330</v>
      </c>
      <c r="J431" s="5">
        <f t="shared" si="28"/>
        <v>1330</v>
      </c>
      <c r="K431">
        <v>1550</v>
      </c>
      <c r="L431" s="9">
        <f t="shared" si="29"/>
        <v>1550</v>
      </c>
      <c r="M431" s="9">
        <f t="shared" si="31"/>
        <v>220</v>
      </c>
    </row>
    <row r="432" spans="1:13" x14ac:dyDescent="0.25">
      <c r="A432">
        <v>18</v>
      </c>
      <c r="B432" s="1">
        <v>43988</v>
      </c>
      <c r="C432" t="str">
        <f t="shared" si="27"/>
        <v>junio</v>
      </c>
      <c r="D432" t="s">
        <v>163</v>
      </c>
      <c r="E432" t="s">
        <v>15</v>
      </c>
      <c r="G432" t="s">
        <v>29</v>
      </c>
      <c r="H432">
        <v>100</v>
      </c>
      <c r="I432">
        <f>171.41*1.15</f>
        <v>197.12149999999997</v>
      </c>
      <c r="J432" s="5">
        <f t="shared" si="28"/>
        <v>19712.149999999998</v>
      </c>
      <c r="K432">
        <v>230</v>
      </c>
      <c r="L432" s="9">
        <f t="shared" si="29"/>
        <v>23000</v>
      </c>
      <c r="M432" s="9">
        <f t="shared" si="31"/>
        <v>3287.8500000000022</v>
      </c>
    </row>
    <row r="433" spans="1:13" x14ac:dyDescent="0.25">
      <c r="A433">
        <v>19</v>
      </c>
      <c r="B433" s="1">
        <v>43988</v>
      </c>
      <c r="C433" t="str">
        <f t="shared" si="27"/>
        <v>junio</v>
      </c>
      <c r="D433" t="s">
        <v>163</v>
      </c>
      <c r="E433" t="s">
        <v>15</v>
      </c>
      <c r="G433" t="s">
        <v>20</v>
      </c>
      <c r="H433">
        <v>180</v>
      </c>
      <c r="I433">
        <f>188.93*1.15</f>
        <v>217.26949999999999</v>
      </c>
      <c r="J433" s="5">
        <f t="shared" si="28"/>
        <v>39108.51</v>
      </c>
      <c r="K433">
        <v>240</v>
      </c>
      <c r="L433" s="9">
        <f t="shared" si="29"/>
        <v>43200</v>
      </c>
      <c r="M433" s="9">
        <f t="shared" si="31"/>
        <v>4091.489999999998</v>
      </c>
    </row>
    <row r="434" spans="1:13" hidden="1" x14ac:dyDescent="0.25">
      <c r="A434">
        <v>20</v>
      </c>
      <c r="B434" s="1">
        <v>43988</v>
      </c>
      <c r="C434" t="str">
        <f t="shared" si="27"/>
        <v>junio</v>
      </c>
      <c r="D434" t="s">
        <v>163</v>
      </c>
      <c r="E434" t="s">
        <v>55</v>
      </c>
      <c r="G434" t="s">
        <v>365</v>
      </c>
      <c r="H434">
        <v>20</v>
      </c>
      <c r="I434">
        <v>163</v>
      </c>
      <c r="J434" s="5">
        <f t="shared" si="28"/>
        <v>3260</v>
      </c>
      <c r="K434">
        <v>230</v>
      </c>
      <c r="L434" s="9">
        <f t="shared" si="29"/>
        <v>4600</v>
      </c>
      <c r="M434" s="9">
        <f t="shared" si="31"/>
        <v>1340</v>
      </c>
    </row>
    <row r="435" spans="1:13" x14ac:dyDescent="0.25">
      <c r="A435">
        <v>21</v>
      </c>
      <c r="B435" s="1">
        <v>43988</v>
      </c>
      <c r="C435" t="str">
        <f t="shared" si="27"/>
        <v>junio</v>
      </c>
      <c r="D435" t="s">
        <v>163</v>
      </c>
      <c r="E435" t="s">
        <v>15</v>
      </c>
      <c r="G435" t="s">
        <v>33</v>
      </c>
      <c r="H435">
        <v>10</v>
      </c>
      <c r="I435">
        <v>230</v>
      </c>
      <c r="J435" s="5">
        <f t="shared" si="28"/>
        <v>2300</v>
      </c>
      <c r="K435">
        <v>280</v>
      </c>
      <c r="L435" s="9">
        <f t="shared" si="29"/>
        <v>2800</v>
      </c>
      <c r="M435" s="9">
        <f t="shared" si="31"/>
        <v>500</v>
      </c>
    </row>
    <row r="436" spans="1:13" x14ac:dyDescent="0.25">
      <c r="A436">
        <v>22</v>
      </c>
      <c r="B436" s="1">
        <v>43988</v>
      </c>
      <c r="C436" t="str">
        <f t="shared" si="27"/>
        <v>junio</v>
      </c>
      <c r="D436" t="s">
        <v>163</v>
      </c>
      <c r="E436" t="s">
        <v>15</v>
      </c>
      <c r="G436" t="s">
        <v>358</v>
      </c>
      <c r="H436">
        <v>10</v>
      </c>
      <c r="I436">
        <v>236.2</v>
      </c>
      <c r="J436" s="5">
        <f t="shared" si="28"/>
        <v>2362</v>
      </c>
      <c r="K436">
        <v>280</v>
      </c>
      <c r="L436" s="9">
        <f t="shared" si="29"/>
        <v>2800</v>
      </c>
      <c r="M436" s="9">
        <f t="shared" si="31"/>
        <v>438</v>
      </c>
    </row>
    <row r="437" spans="1:13" hidden="1" x14ac:dyDescent="0.25">
      <c r="A437">
        <v>23</v>
      </c>
      <c r="B437" s="1">
        <v>43988</v>
      </c>
      <c r="C437" t="str">
        <f t="shared" si="27"/>
        <v>junio</v>
      </c>
      <c r="D437" t="s">
        <v>163</v>
      </c>
      <c r="E437" t="s">
        <v>85</v>
      </c>
      <c r="G437" t="s">
        <v>299</v>
      </c>
      <c r="H437">
        <v>10</v>
      </c>
      <c r="I437">
        <f>692.4/10</f>
        <v>69.239999999999995</v>
      </c>
      <c r="J437" s="5">
        <f t="shared" si="28"/>
        <v>692.4</v>
      </c>
      <c r="K437">
        <v>85</v>
      </c>
      <c r="L437" s="9">
        <f t="shared" si="29"/>
        <v>850</v>
      </c>
      <c r="M437" s="9">
        <f t="shared" si="31"/>
        <v>157.60000000000002</v>
      </c>
    </row>
    <row r="438" spans="1:13" hidden="1" x14ac:dyDescent="0.25">
      <c r="A438">
        <v>24</v>
      </c>
      <c r="B438" s="1">
        <v>43992</v>
      </c>
      <c r="C438" t="str">
        <f t="shared" si="27"/>
        <v>junio</v>
      </c>
      <c r="D438" t="s">
        <v>167</v>
      </c>
      <c r="E438" t="s">
        <v>55</v>
      </c>
      <c r="G438" t="s">
        <v>22</v>
      </c>
      <c r="H438">
        <v>14.16</v>
      </c>
      <c r="I438">
        <v>268</v>
      </c>
      <c r="J438" s="5">
        <f t="shared" si="28"/>
        <v>3794.88</v>
      </c>
      <c r="K438">
        <v>300</v>
      </c>
      <c r="L438" s="9">
        <f t="shared" si="29"/>
        <v>4248</v>
      </c>
      <c r="M438" s="9">
        <f t="shared" si="31"/>
        <v>453.11999999999989</v>
      </c>
    </row>
    <row r="439" spans="1:13" hidden="1" x14ac:dyDescent="0.25">
      <c r="A439">
        <v>25</v>
      </c>
      <c r="B439" s="1">
        <v>43992</v>
      </c>
      <c r="C439" t="str">
        <f t="shared" si="27"/>
        <v>junio</v>
      </c>
      <c r="D439" t="s">
        <v>167</v>
      </c>
      <c r="E439" t="s">
        <v>15</v>
      </c>
      <c r="G439" t="s">
        <v>357</v>
      </c>
      <c r="H439">
        <v>50</v>
      </c>
      <c r="I439">
        <v>206</v>
      </c>
      <c r="J439" s="5">
        <f t="shared" si="28"/>
        <v>10300</v>
      </c>
      <c r="K439">
        <v>240</v>
      </c>
      <c r="L439" s="9">
        <f t="shared" si="29"/>
        <v>12000</v>
      </c>
      <c r="M439" s="9">
        <f t="shared" si="31"/>
        <v>1700</v>
      </c>
    </row>
    <row r="440" spans="1:13" hidden="1" x14ac:dyDescent="0.25">
      <c r="A440">
        <v>26</v>
      </c>
      <c r="B440" s="1">
        <v>43992</v>
      </c>
      <c r="C440" t="str">
        <f t="shared" si="27"/>
        <v>junio</v>
      </c>
      <c r="D440" t="s">
        <v>167</v>
      </c>
      <c r="E440" t="s">
        <v>15</v>
      </c>
      <c r="G440" t="s">
        <v>346</v>
      </c>
      <c r="H440">
        <v>10</v>
      </c>
      <c r="I440">
        <v>219</v>
      </c>
      <c r="J440" s="5">
        <f t="shared" si="28"/>
        <v>2190</v>
      </c>
      <c r="K440">
        <v>280</v>
      </c>
      <c r="L440" s="9">
        <f t="shared" si="29"/>
        <v>2800</v>
      </c>
      <c r="M440" s="9">
        <f t="shared" si="31"/>
        <v>610</v>
      </c>
    </row>
    <row r="441" spans="1:13" hidden="1" x14ac:dyDescent="0.25">
      <c r="A441">
        <v>27</v>
      </c>
      <c r="B441" s="1">
        <v>43992</v>
      </c>
      <c r="C441" t="str">
        <f t="shared" si="27"/>
        <v>junio</v>
      </c>
      <c r="D441" t="s">
        <v>167</v>
      </c>
      <c r="E441" t="s">
        <v>70</v>
      </c>
      <c r="G441" t="s">
        <v>227</v>
      </c>
      <c r="H441">
        <v>10</v>
      </c>
      <c r="I441">
        <v>1440</v>
      </c>
      <c r="J441" s="5">
        <f t="shared" si="28"/>
        <v>14400</v>
      </c>
      <c r="K441">
        <v>1650</v>
      </c>
      <c r="L441" s="9">
        <f t="shared" si="29"/>
        <v>16500</v>
      </c>
      <c r="M441" s="9">
        <f t="shared" si="31"/>
        <v>2100</v>
      </c>
    </row>
    <row r="442" spans="1:13" hidden="1" x14ac:dyDescent="0.25">
      <c r="A442">
        <v>28</v>
      </c>
      <c r="B442" s="1">
        <v>43992</v>
      </c>
      <c r="C442" t="str">
        <f t="shared" si="27"/>
        <v>junio</v>
      </c>
      <c r="D442" t="s">
        <v>167</v>
      </c>
      <c r="E442" t="s">
        <v>205</v>
      </c>
      <c r="G442" t="s">
        <v>366</v>
      </c>
      <c r="H442">
        <v>1.08</v>
      </c>
      <c r="I442">
        <v>345</v>
      </c>
      <c r="J442" s="5">
        <f t="shared" si="28"/>
        <v>372.6</v>
      </c>
      <c r="K442">
        <f>12*34</f>
        <v>408</v>
      </c>
      <c r="L442" s="9">
        <f t="shared" si="29"/>
        <v>440.64000000000004</v>
      </c>
      <c r="M442" s="9">
        <f t="shared" si="31"/>
        <v>68.04000000000002</v>
      </c>
    </row>
    <row r="443" spans="1:13" hidden="1" x14ac:dyDescent="0.25">
      <c r="A443">
        <v>29</v>
      </c>
      <c r="B443" s="1">
        <v>43992</v>
      </c>
      <c r="C443" t="str">
        <f t="shared" si="27"/>
        <v>junio</v>
      </c>
      <c r="D443" t="s">
        <v>167</v>
      </c>
      <c r="E443" t="s">
        <v>205</v>
      </c>
      <c r="G443" t="s">
        <v>367</v>
      </c>
      <c r="H443">
        <v>1.08</v>
      </c>
      <c r="I443">
        <v>345</v>
      </c>
      <c r="J443" s="5">
        <f t="shared" si="28"/>
        <v>372.6</v>
      </c>
      <c r="K443">
        <f>12*34</f>
        <v>408</v>
      </c>
      <c r="L443" s="9">
        <f t="shared" si="29"/>
        <v>440.64000000000004</v>
      </c>
      <c r="M443" s="9">
        <f t="shared" si="31"/>
        <v>68.04000000000002</v>
      </c>
    </row>
    <row r="444" spans="1:13" hidden="1" x14ac:dyDescent="0.25">
      <c r="A444">
        <v>30</v>
      </c>
      <c r="B444" s="1">
        <v>43992</v>
      </c>
      <c r="C444" t="str">
        <f t="shared" si="27"/>
        <v>junio</v>
      </c>
      <c r="D444" t="s">
        <v>167</v>
      </c>
      <c r="E444" t="s">
        <v>205</v>
      </c>
      <c r="G444" t="s">
        <v>368</v>
      </c>
      <c r="H444">
        <v>1.08</v>
      </c>
      <c r="I444">
        <v>396</v>
      </c>
      <c r="J444" s="5">
        <f t="shared" si="28"/>
        <v>427.68</v>
      </c>
      <c r="K444">
        <f>14*34</f>
        <v>476</v>
      </c>
      <c r="L444" s="9">
        <f t="shared" si="29"/>
        <v>514.08000000000004</v>
      </c>
      <c r="M444" s="9">
        <f t="shared" si="31"/>
        <v>86.400000000000034</v>
      </c>
    </row>
    <row r="445" spans="1:13" hidden="1" x14ac:dyDescent="0.25">
      <c r="A445">
        <v>31</v>
      </c>
      <c r="B445" s="1">
        <v>43992</v>
      </c>
      <c r="C445" t="str">
        <f t="shared" si="27"/>
        <v>junio</v>
      </c>
      <c r="D445" t="s">
        <v>167</v>
      </c>
      <c r="E445" t="s">
        <v>205</v>
      </c>
      <c r="G445" t="s">
        <v>369</v>
      </c>
      <c r="H445">
        <v>1.08</v>
      </c>
      <c r="I445">
        <v>396</v>
      </c>
      <c r="J445" s="5">
        <f t="shared" si="28"/>
        <v>427.68</v>
      </c>
      <c r="K445">
        <f>14*34</f>
        <v>476</v>
      </c>
      <c r="L445" s="9">
        <f t="shared" si="29"/>
        <v>514.08000000000004</v>
      </c>
      <c r="M445" s="9">
        <f t="shared" si="31"/>
        <v>86.400000000000034</v>
      </c>
    </row>
    <row r="446" spans="1:13" hidden="1" x14ac:dyDescent="0.25">
      <c r="A446">
        <v>32</v>
      </c>
      <c r="B446" s="1">
        <v>43993</v>
      </c>
      <c r="C446" t="str">
        <f t="shared" si="27"/>
        <v>junio</v>
      </c>
      <c r="D446" t="s">
        <v>99</v>
      </c>
      <c r="E446" t="s">
        <v>26</v>
      </c>
      <c r="G446" t="s">
        <v>100</v>
      </c>
      <c r="H446">
        <v>4.32</v>
      </c>
      <c r="I446">
        <f>1352.45/4.32</f>
        <v>313.06712962962962</v>
      </c>
      <c r="J446" s="5">
        <f t="shared" si="28"/>
        <v>1352.45</v>
      </c>
      <c r="K446">
        <v>380</v>
      </c>
      <c r="L446" s="9">
        <f t="shared" si="29"/>
        <v>1641.6000000000001</v>
      </c>
      <c r="M446" s="9">
        <f t="shared" si="31"/>
        <v>289.15000000000009</v>
      </c>
    </row>
    <row r="447" spans="1:13" hidden="1" x14ac:dyDescent="0.25">
      <c r="A447">
        <v>33</v>
      </c>
      <c r="B447" s="1">
        <v>43994</v>
      </c>
      <c r="C447" t="str">
        <f t="shared" si="27"/>
        <v>junio</v>
      </c>
      <c r="D447" t="s">
        <v>163</v>
      </c>
      <c r="E447" t="s">
        <v>56</v>
      </c>
      <c r="G447" t="s">
        <v>171</v>
      </c>
      <c r="H447">
        <v>104</v>
      </c>
      <c r="I447">
        <f>105.89*1.15</f>
        <v>121.77349999999998</v>
      </c>
      <c r="J447" s="5">
        <f t="shared" si="28"/>
        <v>12664.443999999998</v>
      </c>
      <c r="K447">
        <v>170</v>
      </c>
      <c r="L447" s="9">
        <f t="shared" si="29"/>
        <v>17680</v>
      </c>
      <c r="M447" s="9">
        <f t="shared" si="31"/>
        <v>5015.5560000000023</v>
      </c>
    </row>
    <row r="448" spans="1:13" x14ac:dyDescent="0.25">
      <c r="A448">
        <v>34</v>
      </c>
      <c r="B448" s="1">
        <v>43994</v>
      </c>
      <c r="C448" t="str">
        <f t="shared" si="27"/>
        <v>junio</v>
      </c>
      <c r="D448" t="s">
        <v>163</v>
      </c>
      <c r="E448" t="s">
        <v>15</v>
      </c>
      <c r="G448" t="s">
        <v>31</v>
      </c>
      <c r="H448">
        <v>7</v>
      </c>
      <c r="I448">
        <f>212.56*1.15</f>
        <v>244.44399999999999</v>
      </c>
      <c r="J448" s="5">
        <f t="shared" si="28"/>
        <v>1711.1079999999999</v>
      </c>
      <c r="K448">
        <v>280</v>
      </c>
      <c r="L448" s="9">
        <f t="shared" si="29"/>
        <v>1960</v>
      </c>
      <c r="M448" s="9">
        <f t="shared" si="31"/>
        <v>248.89200000000005</v>
      </c>
    </row>
    <row r="449" spans="1:13" hidden="1" x14ac:dyDescent="0.25">
      <c r="A449">
        <v>35</v>
      </c>
      <c r="B449" s="1">
        <v>43994</v>
      </c>
      <c r="C449" t="str">
        <f t="shared" si="27"/>
        <v>junio</v>
      </c>
      <c r="D449" t="s">
        <v>163</v>
      </c>
      <c r="E449" t="s">
        <v>25</v>
      </c>
      <c r="G449" t="s">
        <v>145</v>
      </c>
      <c r="H449">
        <v>6</v>
      </c>
      <c r="I449">
        <f>60.46*1.15</f>
        <v>69.528999999999996</v>
      </c>
      <c r="J449" s="5">
        <f t="shared" si="28"/>
        <v>417.17399999999998</v>
      </c>
      <c r="K449">
        <v>100</v>
      </c>
      <c r="L449" s="9">
        <f t="shared" si="29"/>
        <v>600</v>
      </c>
      <c r="M449" s="9">
        <f t="shared" ref="M449:M480" si="32">+L449-J449</f>
        <v>182.82600000000002</v>
      </c>
    </row>
    <row r="450" spans="1:13" hidden="1" x14ac:dyDescent="0.25">
      <c r="A450">
        <v>36</v>
      </c>
      <c r="B450" s="1">
        <v>43994</v>
      </c>
      <c r="C450" t="str">
        <f t="shared" ref="C450:C513" si="33">+TEXT(B450,"mmmm")</f>
        <v>junio</v>
      </c>
      <c r="D450" t="s">
        <v>163</v>
      </c>
      <c r="E450" t="s">
        <v>55</v>
      </c>
      <c r="G450" t="s">
        <v>365</v>
      </c>
      <c r="H450">
        <v>30</v>
      </c>
      <c r="I450">
        <f>141.54*1.15</f>
        <v>162.77099999999999</v>
      </c>
      <c r="J450" s="5">
        <f t="shared" ref="J450:J513" si="34">+H450*I450</f>
        <v>4883.1299999999992</v>
      </c>
      <c r="K450">
        <v>230</v>
      </c>
      <c r="L450" s="9">
        <f t="shared" ref="L450:L486" si="35">+H450*K450</f>
        <v>6900</v>
      </c>
      <c r="M450" s="9">
        <f t="shared" si="32"/>
        <v>2016.8700000000008</v>
      </c>
    </row>
    <row r="451" spans="1:13" hidden="1" x14ac:dyDescent="0.25">
      <c r="A451">
        <v>37</v>
      </c>
      <c r="B451" s="1">
        <v>43995</v>
      </c>
      <c r="C451" t="str">
        <f t="shared" si="33"/>
        <v>junio</v>
      </c>
      <c r="D451" t="s">
        <v>163</v>
      </c>
      <c r="E451" t="s">
        <v>56</v>
      </c>
      <c r="G451" t="s">
        <v>171</v>
      </c>
      <c r="H451">
        <v>104</v>
      </c>
      <c r="I451">
        <v>122</v>
      </c>
      <c r="J451" s="5">
        <f t="shared" si="34"/>
        <v>12688</v>
      </c>
      <c r="K451">
        <v>170</v>
      </c>
      <c r="L451" s="9">
        <f t="shared" si="35"/>
        <v>17680</v>
      </c>
      <c r="M451" s="9">
        <f t="shared" si="32"/>
        <v>4992</v>
      </c>
    </row>
    <row r="452" spans="1:13" x14ac:dyDescent="0.25">
      <c r="A452">
        <v>38</v>
      </c>
      <c r="B452" s="1">
        <v>43995</v>
      </c>
      <c r="C452" t="str">
        <f t="shared" si="33"/>
        <v>junio</v>
      </c>
      <c r="D452" t="s">
        <v>163</v>
      </c>
      <c r="E452" t="s">
        <v>15</v>
      </c>
      <c r="G452" t="s">
        <v>31</v>
      </c>
      <c r="H452">
        <v>7</v>
      </c>
      <c r="I452">
        <v>245</v>
      </c>
      <c r="J452" s="5">
        <f t="shared" si="34"/>
        <v>1715</v>
      </c>
      <c r="K452">
        <v>280</v>
      </c>
      <c r="L452" s="9">
        <f t="shared" si="35"/>
        <v>1960</v>
      </c>
      <c r="M452" s="9">
        <f t="shared" si="32"/>
        <v>245</v>
      </c>
    </row>
    <row r="453" spans="1:13" hidden="1" x14ac:dyDescent="0.25">
      <c r="A453">
        <v>39</v>
      </c>
      <c r="B453" s="1">
        <v>43995</v>
      </c>
      <c r="C453" t="str">
        <f t="shared" si="33"/>
        <v>junio</v>
      </c>
      <c r="D453" t="s">
        <v>163</v>
      </c>
      <c r="E453" t="s">
        <v>25</v>
      </c>
      <c r="G453" t="s">
        <v>145</v>
      </c>
      <c r="H453">
        <v>6</v>
      </c>
      <c r="I453">
        <v>70</v>
      </c>
      <c r="J453" s="5">
        <f t="shared" si="34"/>
        <v>420</v>
      </c>
      <c r="K453">
        <v>100</v>
      </c>
      <c r="L453" s="9">
        <f t="shared" si="35"/>
        <v>600</v>
      </c>
      <c r="M453" s="9">
        <f t="shared" si="32"/>
        <v>180</v>
      </c>
    </row>
    <row r="454" spans="1:13" hidden="1" x14ac:dyDescent="0.25">
      <c r="A454">
        <v>40</v>
      </c>
      <c r="B454" s="1">
        <v>43995</v>
      </c>
      <c r="C454" t="str">
        <f t="shared" si="33"/>
        <v>junio</v>
      </c>
      <c r="D454" t="s">
        <v>163</v>
      </c>
      <c r="E454" t="s">
        <v>55</v>
      </c>
      <c r="G454" t="s">
        <v>365</v>
      </c>
      <c r="H454">
        <v>30</v>
      </c>
      <c r="I454">
        <v>163</v>
      </c>
      <c r="J454" s="5">
        <f t="shared" si="34"/>
        <v>4890</v>
      </c>
      <c r="K454">
        <v>300</v>
      </c>
      <c r="L454" s="9">
        <f t="shared" si="35"/>
        <v>9000</v>
      </c>
      <c r="M454" s="9">
        <f t="shared" si="32"/>
        <v>4110</v>
      </c>
    </row>
    <row r="455" spans="1:13" hidden="1" x14ac:dyDescent="0.25">
      <c r="A455">
        <v>41</v>
      </c>
      <c r="B455" s="1">
        <v>43996</v>
      </c>
      <c r="C455" t="str">
        <f t="shared" si="33"/>
        <v>junio</v>
      </c>
      <c r="D455" t="s">
        <v>13</v>
      </c>
      <c r="E455" t="s">
        <v>15</v>
      </c>
      <c r="G455" t="s">
        <v>312</v>
      </c>
      <c r="H455">
        <v>14.63</v>
      </c>
      <c r="I455">
        <v>280</v>
      </c>
      <c r="J455" s="5">
        <f t="shared" si="34"/>
        <v>4096.4000000000005</v>
      </c>
      <c r="K455">
        <v>300</v>
      </c>
      <c r="L455" s="9">
        <f t="shared" si="35"/>
        <v>4389</v>
      </c>
      <c r="M455" s="9">
        <f t="shared" si="32"/>
        <v>292.59999999999945</v>
      </c>
    </row>
    <row r="456" spans="1:13" hidden="1" x14ac:dyDescent="0.25">
      <c r="A456">
        <v>42</v>
      </c>
      <c r="B456" s="1">
        <v>44001</v>
      </c>
      <c r="C456" t="str">
        <f t="shared" si="33"/>
        <v>junio</v>
      </c>
      <c r="D456" t="s">
        <v>167</v>
      </c>
      <c r="E456" t="s">
        <v>15</v>
      </c>
      <c r="G456" t="s">
        <v>357</v>
      </c>
      <c r="H456">
        <v>20</v>
      </c>
      <c r="I456">
        <v>207</v>
      </c>
      <c r="J456" s="5">
        <f t="shared" si="34"/>
        <v>4140</v>
      </c>
      <c r="K456">
        <v>240</v>
      </c>
      <c r="L456" s="9">
        <f t="shared" si="35"/>
        <v>4800</v>
      </c>
      <c r="M456" s="9">
        <f t="shared" si="32"/>
        <v>660</v>
      </c>
    </row>
    <row r="457" spans="1:13" hidden="1" x14ac:dyDescent="0.25">
      <c r="A457">
        <v>43</v>
      </c>
      <c r="B457" s="1">
        <v>44001</v>
      </c>
      <c r="C457" t="str">
        <f t="shared" si="33"/>
        <v>junio</v>
      </c>
      <c r="D457" t="s">
        <v>167</v>
      </c>
      <c r="E457" t="s">
        <v>15</v>
      </c>
      <c r="G457" t="s">
        <v>425</v>
      </c>
      <c r="H457">
        <v>10</v>
      </c>
      <c r="I457">
        <v>207</v>
      </c>
      <c r="J457" s="5">
        <f t="shared" si="34"/>
        <v>2070</v>
      </c>
      <c r="K457">
        <v>240</v>
      </c>
      <c r="L457" s="9">
        <f t="shared" si="35"/>
        <v>2400</v>
      </c>
      <c r="M457" s="9">
        <f t="shared" si="32"/>
        <v>330</v>
      </c>
    </row>
    <row r="458" spans="1:13" hidden="1" x14ac:dyDescent="0.25">
      <c r="A458">
        <v>44</v>
      </c>
      <c r="B458" s="1">
        <v>44001</v>
      </c>
      <c r="C458" t="str">
        <f t="shared" si="33"/>
        <v>junio</v>
      </c>
      <c r="D458" t="s">
        <v>167</v>
      </c>
      <c r="E458" t="s">
        <v>15</v>
      </c>
      <c r="G458" t="s">
        <v>356</v>
      </c>
      <c r="H458">
        <v>10</v>
      </c>
      <c r="I458">
        <v>207</v>
      </c>
      <c r="J458" s="5">
        <f t="shared" si="34"/>
        <v>2070</v>
      </c>
      <c r="K458">
        <v>240</v>
      </c>
      <c r="L458" s="9">
        <f t="shared" si="35"/>
        <v>2400</v>
      </c>
      <c r="M458" s="9">
        <f t="shared" si="32"/>
        <v>330</v>
      </c>
    </row>
    <row r="459" spans="1:13" hidden="1" x14ac:dyDescent="0.25">
      <c r="A459">
        <v>45</v>
      </c>
      <c r="B459" s="1">
        <v>44001</v>
      </c>
      <c r="C459" t="str">
        <f t="shared" si="33"/>
        <v>junio</v>
      </c>
      <c r="D459" t="s">
        <v>167</v>
      </c>
      <c r="E459" t="s">
        <v>85</v>
      </c>
      <c r="G459" t="s">
        <v>216</v>
      </c>
      <c r="H459">
        <v>2</v>
      </c>
      <c r="I459">
        <v>480</v>
      </c>
      <c r="J459" s="5">
        <f t="shared" si="34"/>
        <v>960</v>
      </c>
      <c r="K459">
        <v>900</v>
      </c>
      <c r="L459" s="9">
        <f t="shared" si="35"/>
        <v>1800</v>
      </c>
      <c r="M459" s="9">
        <f t="shared" si="32"/>
        <v>840</v>
      </c>
    </row>
    <row r="460" spans="1:13" hidden="1" x14ac:dyDescent="0.25">
      <c r="A460">
        <v>46</v>
      </c>
      <c r="B460" s="1">
        <v>44001</v>
      </c>
      <c r="C460" t="str">
        <f t="shared" si="33"/>
        <v>junio</v>
      </c>
      <c r="D460" t="s">
        <v>167</v>
      </c>
      <c r="E460" t="s">
        <v>15</v>
      </c>
      <c r="G460" t="s">
        <v>131</v>
      </c>
      <c r="H460">
        <v>5</v>
      </c>
      <c r="I460">
        <v>268</v>
      </c>
      <c r="J460" s="5">
        <f t="shared" si="34"/>
        <v>1340</v>
      </c>
      <c r="K460">
        <v>300</v>
      </c>
      <c r="L460" s="9">
        <f t="shared" si="35"/>
        <v>1500</v>
      </c>
      <c r="M460" s="9">
        <f t="shared" si="32"/>
        <v>160</v>
      </c>
    </row>
    <row r="461" spans="1:13" hidden="1" x14ac:dyDescent="0.25">
      <c r="A461">
        <v>47</v>
      </c>
      <c r="B461" s="1">
        <v>44001</v>
      </c>
      <c r="C461" t="str">
        <f t="shared" si="33"/>
        <v>junio</v>
      </c>
      <c r="D461" t="s">
        <v>167</v>
      </c>
      <c r="E461" t="s">
        <v>15</v>
      </c>
      <c r="G461" t="s">
        <v>312</v>
      </c>
      <c r="H461">
        <v>15</v>
      </c>
      <c r="I461">
        <v>268</v>
      </c>
      <c r="J461" s="5">
        <f t="shared" si="34"/>
        <v>4020</v>
      </c>
      <c r="K461">
        <v>300</v>
      </c>
      <c r="L461" s="9">
        <f t="shared" si="35"/>
        <v>4500</v>
      </c>
      <c r="M461" s="9">
        <f t="shared" si="32"/>
        <v>480</v>
      </c>
    </row>
    <row r="462" spans="1:13" hidden="1" x14ac:dyDescent="0.25">
      <c r="A462">
        <v>48</v>
      </c>
      <c r="B462" s="1">
        <v>44001</v>
      </c>
      <c r="C462" t="str">
        <f t="shared" si="33"/>
        <v>junio</v>
      </c>
      <c r="D462" t="s">
        <v>167</v>
      </c>
      <c r="E462" t="s">
        <v>15</v>
      </c>
      <c r="G462" t="s">
        <v>104</v>
      </c>
      <c r="H462">
        <v>10</v>
      </c>
      <c r="I462">
        <v>268</v>
      </c>
      <c r="J462" s="5">
        <f t="shared" si="34"/>
        <v>2680</v>
      </c>
      <c r="K462">
        <v>300</v>
      </c>
      <c r="L462" s="9">
        <f t="shared" si="35"/>
        <v>3000</v>
      </c>
      <c r="M462" s="9">
        <f t="shared" si="32"/>
        <v>320</v>
      </c>
    </row>
    <row r="463" spans="1:13" hidden="1" x14ac:dyDescent="0.25">
      <c r="A463">
        <v>49</v>
      </c>
      <c r="B463" s="1">
        <v>44001</v>
      </c>
      <c r="C463" t="str">
        <f t="shared" si="33"/>
        <v>junio</v>
      </c>
      <c r="D463" t="s">
        <v>167</v>
      </c>
      <c r="E463" t="s">
        <v>15</v>
      </c>
      <c r="G463" t="s">
        <v>343</v>
      </c>
      <c r="H463">
        <v>10</v>
      </c>
      <c r="I463">
        <v>219</v>
      </c>
      <c r="J463" s="5">
        <f t="shared" si="34"/>
        <v>2190</v>
      </c>
      <c r="K463">
        <v>280</v>
      </c>
      <c r="L463" s="9">
        <f t="shared" si="35"/>
        <v>2800</v>
      </c>
      <c r="M463" s="9">
        <f t="shared" si="32"/>
        <v>610</v>
      </c>
    </row>
    <row r="464" spans="1:13" hidden="1" x14ac:dyDescent="0.25">
      <c r="A464">
        <v>50</v>
      </c>
      <c r="B464" s="1">
        <v>44001</v>
      </c>
      <c r="C464" t="str">
        <f t="shared" si="33"/>
        <v>junio</v>
      </c>
      <c r="D464" t="s">
        <v>167</v>
      </c>
      <c r="E464" t="s">
        <v>15</v>
      </c>
      <c r="G464" t="s">
        <v>359</v>
      </c>
      <c r="H464">
        <v>20</v>
      </c>
      <c r="I464">
        <v>219</v>
      </c>
      <c r="J464" s="5">
        <f t="shared" si="34"/>
        <v>4380</v>
      </c>
      <c r="K464">
        <v>280</v>
      </c>
      <c r="L464" s="9">
        <f t="shared" si="35"/>
        <v>5600</v>
      </c>
      <c r="M464" s="9">
        <f t="shared" si="32"/>
        <v>1220</v>
      </c>
    </row>
    <row r="465" spans="1:13" hidden="1" x14ac:dyDescent="0.25">
      <c r="A465">
        <v>51</v>
      </c>
      <c r="B465" s="1">
        <v>44001</v>
      </c>
      <c r="C465" t="str">
        <f t="shared" si="33"/>
        <v>junio</v>
      </c>
      <c r="D465" t="s">
        <v>167</v>
      </c>
      <c r="E465" t="s">
        <v>15</v>
      </c>
      <c r="G465" t="s">
        <v>17</v>
      </c>
      <c r="H465">
        <v>10.98</v>
      </c>
      <c r="I465">
        <v>306</v>
      </c>
      <c r="J465" s="5">
        <f t="shared" si="34"/>
        <v>3359.88</v>
      </c>
      <c r="K465">
        <v>360</v>
      </c>
      <c r="L465" s="9">
        <f t="shared" si="35"/>
        <v>3952.8</v>
      </c>
      <c r="M465" s="9">
        <f t="shared" si="32"/>
        <v>592.92000000000007</v>
      </c>
    </row>
    <row r="466" spans="1:13" hidden="1" x14ac:dyDescent="0.25">
      <c r="A466">
        <v>52</v>
      </c>
      <c r="B466" s="1">
        <v>44001</v>
      </c>
      <c r="C466" t="str">
        <f t="shared" si="33"/>
        <v>junio</v>
      </c>
      <c r="D466" t="s">
        <v>167</v>
      </c>
      <c r="E466" t="s">
        <v>15</v>
      </c>
      <c r="G466" t="s">
        <v>385</v>
      </c>
      <c r="H466">
        <v>20</v>
      </c>
      <c r="I466">
        <v>215</v>
      </c>
      <c r="J466" s="5">
        <f t="shared" si="34"/>
        <v>4300</v>
      </c>
      <c r="K466">
        <v>240</v>
      </c>
      <c r="L466" s="9">
        <f t="shared" si="35"/>
        <v>4800</v>
      </c>
      <c r="M466" s="9">
        <f t="shared" si="32"/>
        <v>500</v>
      </c>
    </row>
    <row r="467" spans="1:13" hidden="1" x14ac:dyDescent="0.25">
      <c r="A467">
        <v>53</v>
      </c>
      <c r="B467" s="1">
        <v>44001</v>
      </c>
      <c r="C467" t="str">
        <f t="shared" si="33"/>
        <v>junio</v>
      </c>
      <c r="D467" t="s">
        <v>167</v>
      </c>
      <c r="E467" t="s">
        <v>55</v>
      </c>
      <c r="G467" t="s">
        <v>371</v>
      </c>
      <c r="H467">
        <v>3</v>
      </c>
      <c r="I467">
        <v>268</v>
      </c>
      <c r="J467" s="5">
        <f t="shared" si="34"/>
        <v>804</v>
      </c>
      <c r="K467">
        <v>300</v>
      </c>
      <c r="L467" s="9">
        <f t="shared" si="35"/>
        <v>900</v>
      </c>
      <c r="M467" s="9">
        <f t="shared" si="32"/>
        <v>96</v>
      </c>
    </row>
    <row r="468" spans="1:13" hidden="1" x14ac:dyDescent="0.25">
      <c r="A468">
        <v>54</v>
      </c>
      <c r="B468" s="1">
        <v>44001</v>
      </c>
      <c r="C468" t="str">
        <f t="shared" si="33"/>
        <v>junio</v>
      </c>
      <c r="D468" t="s">
        <v>167</v>
      </c>
      <c r="E468" t="s">
        <v>55</v>
      </c>
      <c r="G468" t="s">
        <v>437</v>
      </c>
      <c r="H468">
        <v>2</v>
      </c>
      <c r="I468">
        <v>268</v>
      </c>
      <c r="J468" s="5">
        <f t="shared" si="34"/>
        <v>536</v>
      </c>
      <c r="K468">
        <v>300</v>
      </c>
      <c r="L468" s="9">
        <f t="shared" si="35"/>
        <v>600</v>
      </c>
      <c r="M468" s="9">
        <f t="shared" si="32"/>
        <v>64</v>
      </c>
    </row>
    <row r="469" spans="1:13" x14ac:dyDescent="0.25">
      <c r="A469">
        <v>55</v>
      </c>
      <c r="B469" s="1">
        <v>44002</v>
      </c>
      <c r="C469" t="str">
        <f t="shared" si="33"/>
        <v>junio</v>
      </c>
      <c r="D469" t="s">
        <v>163</v>
      </c>
      <c r="E469" t="s">
        <v>15</v>
      </c>
      <c r="G469" t="s">
        <v>20</v>
      </c>
      <c r="H469">
        <v>70</v>
      </c>
      <c r="I469">
        <v>229</v>
      </c>
      <c r="J469" s="5">
        <f t="shared" si="34"/>
        <v>16030</v>
      </c>
      <c r="K469">
        <v>270</v>
      </c>
      <c r="L469" s="9">
        <f t="shared" si="35"/>
        <v>18900</v>
      </c>
      <c r="M469" s="9">
        <f t="shared" si="32"/>
        <v>2870</v>
      </c>
    </row>
    <row r="470" spans="1:13" x14ac:dyDescent="0.25">
      <c r="A470">
        <v>56</v>
      </c>
      <c r="B470" s="1">
        <v>44002</v>
      </c>
      <c r="C470" t="str">
        <f t="shared" si="33"/>
        <v>junio</v>
      </c>
      <c r="D470" t="s">
        <v>163</v>
      </c>
      <c r="E470" t="s">
        <v>15</v>
      </c>
      <c r="G470" t="s">
        <v>28</v>
      </c>
      <c r="H470">
        <v>50</v>
      </c>
      <c r="I470">
        <v>214</v>
      </c>
      <c r="J470" s="5">
        <f t="shared" si="34"/>
        <v>10700</v>
      </c>
      <c r="K470">
        <v>240</v>
      </c>
      <c r="L470" s="9">
        <f t="shared" si="35"/>
        <v>12000</v>
      </c>
      <c r="M470" s="9">
        <f t="shared" si="32"/>
        <v>1300</v>
      </c>
    </row>
    <row r="471" spans="1:13" x14ac:dyDescent="0.25">
      <c r="A471">
        <v>57</v>
      </c>
      <c r="B471" s="1">
        <v>44002</v>
      </c>
      <c r="C471" t="str">
        <f t="shared" si="33"/>
        <v>junio</v>
      </c>
      <c r="D471" t="s">
        <v>163</v>
      </c>
      <c r="E471" t="s">
        <v>15</v>
      </c>
      <c r="G471" t="s">
        <v>95</v>
      </c>
      <c r="H471">
        <v>5</v>
      </c>
      <c r="I471">
        <v>245</v>
      </c>
      <c r="J471" s="5">
        <f t="shared" si="34"/>
        <v>1225</v>
      </c>
      <c r="K471">
        <v>280</v>
      </c>
      <c r="L471" s="9">
        <f t="shared" si="35"/>
        <v>1400</v>
      </c>
      <c r="M471" s="9">
        <f t="shared" si="32"/>
        <v>175</v>
      </c>
    </row>
    <row r="472" spans="1:13" hidden="1" x14ac:dyDescent="0.25">
      <c r="A472">
        <v>58</v>
      </c>
      <c r="B472" s="1">
        <v>44002</v>
      </c>
      <c r="C472" t="str">
        <f t="shared" si="33"/>
        <v>junio</v>
      </c>
      <c r="D472" t="s">
        <v>163</v>
      </c>
      <c r="E472" t="s">
        <v>56</v>
      </c>
      <c r="G472" t="s">
        <v>176</v>
      </c>
      <c r="H472">
        <v>13</v>
      </c>
      <c r="I472">
        <v>187</v>
      </c>
      <c r="J472" s="5">
        <f t="shared" si="34"/>
        <v>2431</v>
      </c>
      <c r="K472">
        <v>260</v>
      </c>
      <c r="L472" s="9">
        <f t="shared" si="35"/>
        <v>3380</v>
      </c>
      <c r="M472" s="9">
        <f t="shared" si="32"/>
        <v>949</v>
      </c>
    </row>
    <row r="473" spans="1:13" x14ac:dyDescent="0.25">
      <c r="A473">
        <v>59</v>
      </c>
      <c r="B473" s="1">
        <v>44002</v>
      </c>
      <c r="C473" t="str">
        <f t="shared" si="33"/>
        <v>junio</v>
      </c>
      <c r="D473" t="s">
        <v>163</v>
      </c>
      <c r="E473" t="s">
        <v>15</v>
      </c>
      <c r="G473" t="s">
        <v>396</v>
      </c>
      <c r="H473">
        <v>30</v>
      </c>
      <c r="I473">
        <v>237</v>
      </c>
      <c r="J473" s="5">
        <f t="shared" si="34"/>
        <v>7110</v>
      </c>
      <c r="L473" s="9">
        <f t="shared" si="35"/>
        <v>0</v>
      </c>
      <c r="M473" s="9">
        <f t="shared" si="32"/>
        <v>-7110</v>
      </c>
    </row>
    <row r="474" spans="1:13" hidden="1" x14ac:dyDescent="0.25">
      <c r="A474">
        <v>60</v>
      </c>
      <c r="B474" s="1">
        <v>44002</v>
      </c>
      <c r="C474" t="str">
        <f t="shared" si="33"/>
        <v>junio</v>
      </c>
      <c r="D474" t="s">
        <v>163</v>
      </c>
      <c r="E474" t="s">
        <v>75</v>
      </c>
      <c r="G474" t="s">
        <v>442</v>
      </c>
      <c r="H474">
        <v>30</v>
      </c>
      <c r="I474">
        <v>27</v>
      </c>
      <c r="J474" s="5">
        <f t="shared" si="34"/>
        <v>810</v>
      </c>
      <c r="K474">
        <v>45</v>
      </c>
      <c r="L474" s="9">
        <f t="shared" si="35"/>
        <v>1350</v>
      </c>
      <c r="M474" s="9">
        <f t="shared" si="32"/>
        <v>540</v>
      </c>
    </row>
    <row r="475" spans="1:13" hidden="1" x14ac:dyDescent="0.25">
      <c r="A475">
        <v>61</v>
      </c>
      <c r="B475" s="1">
        <v>44008</v>
      </c>
      <c r="C475" t="str">
        <f t="shared" si="33"/>
        <v>junio</v>
      </c>
      <c r="D475" t="s">
        <v>99</v>
      </c>
      <c r="E475" t="s">
        <v>26</v>
      </c>
      <c r="G475" t="s">
        <v>100</v>
      </c>
      <c r="H475">
        <v>100.8</v>
      </c>
      <c r="I475">
        <v>260.27</v>
      </c>
      <c r="J475" s="5">
        <f t="shared" si="34"/>
        <v>26235.215999999997</v>
      </c>
      <c r="K475">
        <v>350</v>
      </c>
      <c r="L475" s="9">
        <f t="shared" si="35"/>
        <v>35280</v>
      </c>
      <c r="M475" s="9">
        <f t="shared" si="32"/>
        <v>9044.7840000000033</v>
      </c>
    </row>
    <row r="476" spans="1:13" hidden="1" x14ac:dyDescent="0.25">
      <c r="A476">
        <v>1</v>
      </c>
      <c r="B476" s="1">
        <v>44013</v>
      </c>
      <c r="C476" t="str">
        <f t="shared" si="33"/>
        <v>julio</v>
      </c>
      <c r="D476" t="s">
        <v>167</v>
      </c>
      <c r="E476" t="s">
        <v>55</v>
      </c>
      <c r="G476" t="s">
        <v>22</v>
      </c>
      <c r="H476">
        <v>28.3</v>
      </c>
      <c r="I476">
        <v>268</v>
      </c>
      <c r="J476" s="5">
        <f t="shared" si="34"/>
        <v>7584.4000000000005</v>
      </c>
      <c r="K476">
        <v>300</v>
      </c>
      <c r="L476" s="9">
        <f t="shared" si="35"/>
        <v>8490</v>
      </c>
      <c r="M476" s="9">
        <f t="shared" si="32"/>
        <v>905.59999999999945</v>
      </c>
    </row>
    <row r="477" spans="1:13" hidden="1" x14ac:dyDescent="0.25">
      <c r="A477">
        <v>2</v>
      </c>
      <c r="B477" s="1">
        <v>44013</v>
      </c>
      <c r="C477" t="str">
        <f t="shared" si="33"/>
        <v>julio</v>
      </c>
      <c r="D477" t="s">
        <v>167</v>
      </c>
      <c r="E477" t="s">
        <v>55</v>
      </c>
      <c r="G477" t="s">
        <v>89</v>
      </c>
      <c r="H477">
        <v>14.16</v>
      </c>
      <c r="I477">
        <v>268</v>
      </c>
      <c r="J477" s="5">
        <f t="shared" si="34"/>
        <v>3794.88</v>
      </c>
      <c r="K477">
        <v>300</v>
      </c>
      <c r="L477" s="9">
        <f t="shared" si="35"/>
        <v>4248</v>
      </c>
      <c r="M477" s="9">
        <f t="shared" si="32"/>
        <v>453.11999999999989</v>
      </c>
    </row>
    <row r="478" spans="1:13" hidden="1" x14ac:dyDescent="0.25">
      <c r="A478">
        <v>3</v>
      </c>
      <c r="B478" s="1">
        <v>44013</v>
      </c>
      <c r="C478" t="str">
        <f t="shared" si="33"/>
        <v>julio</v>
      </c>
      <c r="D478" t="s">
        <v>167</v>
      </c>
      <c r="E478" t="s">
        <v>55</v>
      </c>
      <c r="G478" t="s">
        <v>247</v>
      </c>
      <c r="H478">
        <v>14.16</v>
      </c>
      <c r="I478">
        <v>268</v>
      </c>
      <c r="J478" s="5">
        <f t="shared" si="34"/>
        <v>3794.88</v>
      </c>
      <c r="K478">
        <v>300</v>
      </c>
      <c r="L478" s="9">
        <f t="shared" si="35"/>
        <v>4248</v>
      </c>
      <c r="M478" s="9">
        <f t="shared" si="32"/>
        <v>453.11999999999989</v>
      </c>
    </row>
    <row r="479" spans="1:13" hidden="1" x14ac:dyDescent="0.25">
      <c r="A479">
        <v>4</v>
      </c>
      <c r="B479" s="1">
        <v>44013</v>
      </c>
      <c r="C479" t="str">
        <f t="shared" si="33"/>
        <v>julio</v>
      </c>
      <c r="D479" t="s">
        <v>167</v>
      </c>
      <c r="E479" t="s">
        <v>55</v>
      </c>
      <c r="G479" t="s">
        <v>39</v>
      </c>
      <c r="H479">
        <v>14.16</v>
      </c>
      <c r="I479">
        <v>268</v>
      </c>
      <c r="J479" s="5">
        <f t="shared" si="34"/>
        <v>3794.88</v>
      </c>
      <c r="K479">
        <v>300</v>
      </c>
      <c r="L479" s="9">
        <f t="shared" si="35"/>
        <v>4248</v>
      </c>
      <c r="M479" s="9">
        <f t="shared" si="32"/>
        <v>453.11999999999989</v>
      </c>
    </row>
    <row r="480" spans="1:13" hidden="1" x14ac:dyDescent="0.25">
      <c r="A480">
        <v>5</v>
      </c>
      <c r="B480" s="1">
        <v>44013</v>
      </c>
      <c r="C480" t="str">
        <f t="shared" si="33"/>
        <v>julio</v>
      </c>
      <c r="D480" t="s">
        <v>167</v>
      </c>
      <c r="E480" t="s">
        <v>55</v>
      </c>
      <c r="G480" t="s">
        <v>381</v>
      </c>
      <c r="H480">
        <v>10</v>
      </c>
      <c r="I480">
        <v>268</v>
      </c>
      <c r="J480" s="5">
        <f t="shared" si="34"/>
        <v>2680</v>
      </c>
      <c r="K480">
        <v>300</v>
      </c>
      <c r="L480" s="9">
        <f t="shared" si="35"/>
        <v>3000</v>
      </c>
      <c r="M480" s="9">
        <f t="shared" si="32"/>
        <v>320</v>
      </c>
    </row>
    <row r="481" spans="1:13" hidden="1" x14ac:dyDescent="0.25">
      <c r="A481">
        <v>6</v>
      </c>
      <c r="B481" s="1">
        <v>44013</v>
      </c>
      <c r="C481" t="str">
        <f t="shared" si="33"/>
        <v>julio</v>
      </c>
      <c r="D481" t="s">
        <v>167</v>
      </c>
      <c r="E481" t="s">
        <v>55</v>
      </c>
      <c r="G481" t="s">
        <v>371</v>
      </c>
      <c r="H481">
        <v>2</v>
      </c>
      <c r="I481">
        <v>268</v>
      </c>
      <c r="J481" s="5">
        <f t="shared" si="34"/>
        <v>536</v>
      </c>
      <c r="K481">
        <v>300</v>
      </c>
      <c r="L481" s="9">
        <f t="shared" si="35"/>
        <v>600</v>
      </c>
      <c r="M481" s="9">
        <f t="shared" ref="M481:M486" si="36">+L481-J481</f>
        <v>64</v>
      </c>
    </row>
    <row r="482" spans="1:13" hidden="1" x14ac:dyDescent="0.25">
      <c r="A482">
        <v>7</v>
      </c>
      <c r="B482" s="1">
        <v>44013</v>
      </c>
      <c r="C482" t="str">
        <f t="shared" si="33"/>
        <v>julio</v>
      </c>
      <c r="D482" t="s">
        <v>167</v>
      </c>
      <c r="E482" t="s">
        <v>15</v>
      </c>
      <c r="G482" t="s">
        <v>343</v>
      </c>
      <c r="H482">
        <v>10</v>
      </c>
      <c r="I482">
        <v>219</v>
      </c>
      <c r="J482" s="5">
        <f t="shared" si="34"/>
        <v>2190</v>
      </c>
      <c r="K482">
        <v>280</v>
      </c>
      <c r="L482" s="9">
        <f t="shared" si="35"/>
        <v>2800</v>
      </c>
      <c r="M482" s="9">
        <f t="shared" si="36"/>
        <v>610</v>
      </c>
    </row>
    <row r="483" spans="1:13" hidden="1" x14ac:dyDescent="0.25">
      <c r="A483">
        <v>8</v>
      </c>
      <c r="B483" s="1">
        <v>44013</v>
      </c>
      <c r="C483" t="str">
        <f t="shared" si="33"/>
        <v>julio</v>
      </c>
      <c r="D483" t="s">
        <v>167</v>
      </c>
      <c r="E483" t="s">
        <v>70</v>
      </c>
      <c r="G483" t="s">
        <v>151</v>
      </c>
      <c r="H483">
        <v>1</v>
      </c>
      <c r="I483">
        <v>1630</v>
      </c>
      <c r="J483" s="5">
        <f t="shared" si="34"/>
        <v>1630</v>
      </c>
      <c r="K483">
        <v>1850</v>
      </c>
      <c r="L483" s="9">
        <f t="shared" si="35"/>
        <v>1850</v>
      </c>
      <c r="M483" s="9">
        <f t="shared" si="36"/>
        <v>220</v>
      </c>
    </row>
    <row r="484" spans="1:13" hidden="1" x14ac:dyDescent="0.25">
      <c r="A484">
        <v>9</v>
      </c>
      <c r="B484" s="1">
        <v>44013</v>
      </c>
      <c r="C484" t="str">
        <f t="shared" si="33"/>
        <v>julio</v>
      </c>
      <c r="D484" t="s">
        <v>167</v>
      </c>
      <c r="E484" t="s">
        <v>78</v>
      </c>
      <c r="G484" t="s">
        <v>428</v>
      </c>
      <c r="H484">
        <v>1</v>
      </c>
      <c r="I484">
        <v>1580</v>
      </c>
      <c r="J484" s="5">
        <f t="shared" si="34"/>
        <v>1580</v>
      </c>
      <c r="K484">
        <v>1900</v>
      </c>
      <c r="L484" s="9">
        <f t="shared" si="35"/>
        <v>1900</v>
      </c>
      <c r="M484" s="9">
        <f t="shared" si="36"/>
        <v>320</v>
      </c>
    </row>
    <row r="485" spans="1:13" hidden="1" x14ac:dyDescent="0.25">
      <c r="A485">
        <v>10</v>
      </c>
      <c r="B485" s="1">
        <v>44014</v>
      </c>
      <c r="C485" t="str">
        <f t="shared" si="33"/>
        <v>julio</v>
      </c>
      <c r="D485" t="s">
        <v>99</v>
      </c>
      <c r="E485" t="s">
        <v>26</v>
      </c>
      <c r="G485" t="s">
        <v>101</v>
      </c>
      <c r="H485">
        <v>4.32</v>
      </c>
      <c r="I485">
        <v>354</v>
      </c>
      <c r="J485" s="5">
        <f t="shared" si="34"/>
        <v>1529.2800000000002</v>
      </c>
      <c r="K485">
        <v>425</v>
      </c>
      <c r="L485" s="9">
        <f t="shared" si="35"/>
        <v>1836.0000000000002</v>
      </c>
      <c r="M485" s="9">
        <f t="shared" si="36"/>
        <v>306.72000000000003</v>
      </c>
    </row>
    <row r="486" spans="1:13" hidden="1" x14ac:dyDescent="0.25">
      <c r="A486">
        <v>11</v>
      </c>
      <c r="B486" s="1">
        <v>44015</v>
      </c>
      <c r="C486" t="str">
        <f t="shared" si="33"/>
        <v>julio</v>
      </c>
      <c r="D486" t="s">
        <v>237</v>
      </c>
      <c r="E486" t="s">
        <v>92</v>
      </c>
      <c r="G486" t="s">
        <v>446</v>
      </c>
      <c r="H486">
        <v>3</v>
      </c>
      <c r="I486">
        <v>90</v>
      </c>
      <c r="J486" s="5">
        <f t="shared" si="34"/>
        <v>270</v>
      </c>
      <c r="K486">
        <v>130</v>
      </c>
      <c r="L486" s="9">
        <f t="shared" si="35"/>
        <v>390</v>
      </c>
      <c r="M486" s="9">
        <f t="shared" si="36"/>
        <v>120</v>
      </c>
    </row>
    <row r="487" spans="1:13" hidden="1" x14ac:dyDescent="0.25">
      <c r="A487">
        <v>12</v>
      </c>
      <c r="B487" s="1">
        <v>44015</v>
      </c>
      <c r="C487" t="str">
        <f t="shared" si="33"/>
        <v>julio</v>
      </c>
      <c r="D487" t="s">
        <v>237</v>
      </c>
      <c r="E487" t="s">
        <v>92</v>
      </c>
      <c r="G487" t="s">
        <v>447</v>
      </c>
      <c r="H487">
        <v>3</v>
      </c>
      <c r="I487">
        <v>290</v>
      </c>
      <c r="J487" s="5">
        <f t="shared" si="34"/>
        <v>870</v>
      </c>
    </row>
    <row r="488" spans="1:13" hidden="1" x14ac:dyDescent="0.25">
      <c r="A488">
        <v>13</v>
      </c>
      <c r="B488" s="1">
        <v>44015</v>
      </c>
      <c r="C488" t="str">
        <f t="shared" si="33"/>
        <v>julio</v>
      </c>
      <c r="D488" t="s">
        <v>237</v>
      </c>
      <c r="E488" t="s">
        <v>92</v>
      </c>
      <c r="G488" t="s">
        <v>448</v>
      </c>
      <c r="H488">
        <v>1</v>
      </c>
      <c r="I488">
        <v>290</v>
      </c>
      <c r="J488" s="5">
        <f t="shared" si="34"/>
        <v>290</v>
      </c>
    </row>
    <row r="489" spans="1:13" hidden="1" x14ac:dyDescent="0.25">
      <c r="A489">
        <v>14</v>
      </c>
      <c r="B489" s="1">
        <v>44015</v>
      </c>
      <c r="C489" t="str">
        <f t="shared" si="33"/>
        <v>julio</v>
      </c>
      <c r="D489" t="s">
        <v>237</v>
      </c>
      <c r="E489" t="s">
        <v>85</v>
      </c>
      <c r="G489" t="s">
        <v>449</v>
      </c>
      <c r="H489">
        <v>6</v>
      </c>
      <c r="I489">
        <v>45</v>
      </c>
      <c r="J489" s="5">
        <f t="shared" si="34"/>
        <v>270</v>
      </c>
    </row>
    <row r="490" spans="1:13" hidden="1" x14ac:dyDescent="0.25">
      <c r="A490">
        <v>15</v>
      </c>
      <c r="B490" s="1">
        <v>44015</v>
      </c>
      <c r="C490" t="str">
        <f t="shared" si="33"/>
        <v>julio</v>
      </c>
      <c r="D490" t="s">
        <v>237</v>
      </c>
      <c r="E490" t="s">
        <v>78</v>
      </c>
      <c r="G490" t="s">
        <v>450</v>
      </c>
      <c r="H490">
        <v>3</v>
      </c>
      <c r="I490">
        <v>42</v>
      </c>
      <c r="J490" s="5">
        <f t="shared" si="34"/>
        <v>126</v>
      </c>
    </row>
    <row r="491" spans="1:13" hidden="1" x14ac:dyDescent="0.25">
      <c r="A491">
        <v>16</v>
      </c>
      <c r="B491" s="1">
        <v>44016</v>
      </c>
      <c r="C491" t="str">
        <f t="shared" si="33"/>
        <v>julio</v>
      </c>
      <c r="D491" t="s">
        <v>163</v>
      </c>
      <c r="E491" t="s">
        <v>56</v>
      </c>
      <c r="G491" t="s">
        <v>171</v>
      </c>
      <c r="H491">
        <v>50</v>
      </c>
      <c r="I491">
        <v>133</v>
      </c>
      <c r="J491" s="5">
        <f t="shared" si="34"/>
        <v>6650</v>
      </c>
      <c r="K491">
        <v>170</v>
      </c>
      <c r="L491" s="9">
        <f t="shared" ref="L491:L522" si="37">+H491*K491</f>
        <v>8500</v>
      </c>
      <c r="M491" s="9">
        <f t="shared" ref="M491:M522" si="38">+L491-J491</f>
        <v>1850</v>
      </c>
    </row>
    <row r="492" spans="1:13" hidden="1" x14ac:dyDescent="0.25">
      <c r="A492">
        <v>17</v>
      </c>
      <c r="B492" s="1">
        <v>44016</v>
      </c>
      <c r="C492" t="str">
        <f t="shared" si="33"/>
        <v>julio</v>
      </c>
      <c r="D492" t="s">
        <v>163</v>
      </c>
      <c r="E492" t="s">
        <v>23</v>
      </c>
      <c r="G492" t="s">
        <v>444</v>
      </c>
      <c r="H492">
        <v>5</v>
      </c>
      <c r="I492">
        <v>0</v>
      </c>
      <c r="J492" s="5">
        <f t="shared" si="34"/>
        <v>0</v>
      </c>
      <c r="K492">
        <v>250</v>
      </c>
      <c r="L492" s="9">
        <f t="shared" si="37"/>
        <v>1250</v>
      </c>
      <c r="M492" s="9">
        <f t="shared" si="38"/>
        <v>1250</v>
      </c>
    </row>
    <row r="493" spans="1:13" x14ac:dyDescent="0.25">
      <c r="A493">
        <v>18</v>
      </c>
      <c r="B493" s="1">
        <v>44016</v>
      </c>
      <c r="C493" t="str">
        <f t="shared" si="33"/>
        <v>julio</v>
      </c>
      <c r="D493" t="s">
        <v>163</v>
      </c>
      <c r="E493" t="s">
        <v>15</v>
      </c>
      <c r="G493" t="s">
        <v>29</v>
      </c>
      <c r="H493">
        <v>100</v>
      </c>
      <c r="I493">
        <v>210</v>
      </c>
      <c r="J493" s="5">
        <f t="shared" si="34"/>
        <v>21000</v>
      </c>
      <c r="K493">
        <v>240</v>
      </c>
      <c r="L493" s="9">
        <f t="shared" si="37"/>
        <v>24000</v>
      </c>
      <c r="M493" s="9">
        <f t="shared" si="38"/>
        <v>3000</v>
      </c>
    </row>
    <row r="494" spans="1:13" x14ac:dyDescent="0.25">
      <c r="A494">
        <v>19</v>
      </c>
      <c r="B494" s="1">
        <v>44016</v>
      </c>
      <c r="C494" t="str">
        <f t="shared" si="33"/>
        <v>julio</v>
      </c>
      <c r="D494" t="s">
        <v>163</v>
      </c>
      <c r="E494" t="s">
        <v>15</v>
      </c>
      <c r="G494" t="s">
        <v>20</v>
      </c>
      <c r="H494">
        <v>40</v>
      </c>
      <c r="I494">
        <v>230</v>
      </c>
      <c r="J494" s="5">
        <f t="shared" si="34"/>
        <v>9200</v>
      </c>
      <c r="K494">
        <v>270</v>
      </c>
      <c r="L494" s="9">
        <f t="shared" si="37"/>
        <v>10800</v>
      </c>
      <c r="M494" s="9">
        <f t="shared" si="38"/>
        <v>1600</v>
      </c>
    </row>
    <row r="495" spans="1:13" x14ac:dyDescent="0.25">
      <c r="A495">
        <v>20</v>
      </c>
      <c r="B495" s="1">
        <v>44016</v>
      </c>
      <c r="C495" t="str">
        <f t="shared" si="33"/>
        <v>julio</v>
      </c>
      <c r="D495" t="s">
        <v>163</v>
      </c>
      <c r="E495" t="s">
        <v>15</v>
      </c>
      <c r="G495" t="s">
        <v>31</v>
      </c>
      <c r="H495">
        <v>10</v>
      </c>
      <c r="I495">
        <v>246</v>
      </c>
      <c r="J495" s="5">
        <f t="shared" si="34"/>
        <v>2460</v>
      </c>
      <c r="K495">
        <v>280</v>
      </c>
      <c r="L495" s="9">
        <f t="shared" si="37"/>
        <v>2800</v>
      </c>
      <c r="M495" s="9">
        <f t="shared" si="38"/>
        <v>340</v>
      </c>
    </row>
    <row r="496" spans="1:13" x14ac:dyDescent="0.25">
      <c r="A496">
        <v>21</v>
      </c>
      <c r="B496" s="1">
        <v>44016</v>
      </c>
      <c r="C496" t="str">
        <f t="shared" si="33"/>
        <v>julio</v>
      </c>
      <c r="D496" t="s">
        <v>163</v>
      </c>
      <c r="E496" t="s">
        <v>15</v>
      </c>
      <c r="G496" t="s">
        <v>32</v>
      </c>
      <c r="H496">
        <v>10</v>
      </c>
      <c r="I496">
        <v>246</v>
      </c>
      <c r="J496" s="5">
        <f t="shared" si="34"/>
        <v>2460</v>
      </c>
      <c r="K496">
        <v>280</v>
      </c>
      <c r="L496" s="9">
        <f t="shared" si="37"/>
        <v>2800</v>
      </c>
      <c r="M496" s="9">
        <f t="shared" si="38"/>
        <v>340</v>
      </c>
    </row>
    <row r="497" spans="1:13" x14ac:dyDescent="0.25">
      <c r="A497">
        <v>22</v>
      </c>
      <c r="B497" s="1">
        <v>44016</v>
      </c>
      <c r="C497" t="str">
        <f t="shared" si="33"/>
        <v>julio</v>
      </c>
      <c r="D497" t="s">
        <v>163</v>
      </c>
      <c r="E497" t="s">
        <v>15</v>
      </c>
      <c r="G497" t="s">
        <v>76</v>
      </c>
      <c r="H497">
        <v>6</v>
      </c>
      <c r="I497">
        <v>233</v>
      </c>
      <c r="J497" s="5">
        <f t="shared" si="34"/>
        <v>1398</v>
      </c>
      <c r="K497">
        <v>280</v>
      </c>
      <c r="L497" s="9">
        <f t="shared" si="37"/>
        <v>1680</v>
      </c>
      <c r="M497" s="9">
        <f t="shared" si="38"/>
        <v>282</v>
      </c>
    </row>
    <row r="498" spans="1:13" hidden="1" x14ac:dyDescent="0.25">
      <c r="A498">
        <v>23</v>
      </c>
      <c r="B498" s="1">
        <v>44016</v>
      </c>
      <c r="C498" t="str">
        <f t="shared" si="33"/>
        <v>julio</v>
      </c>
      <c r="D498" t="s">
        <v>163</v>
      </c>
      <c r="E498" t="s">
        <v>25</v>
      </c>
      <c r="G498" t="s">
        <v>145</v>
      </c>
      <c r="H498">
        <v>4</v>
      </c>
      <c r="I498">
        <v>70</v>
      </c>
      <c r="J498" s="5">
        <f t="shared" si="34"/>
        <v>280</v>
      </c>
      <c r="K498">
        <v>100</v>
      </c>
      <c r="L498" s="9">
        <f t="shared" si="37"/>
        <v>400</v>
      </c>
      <c r="M498" s="9">
        <f t="shared" si="38"/>
        <v>120</v>
      </c>
    </row>
    <row r="499" spans="1:13" hidden="1" x14ac:dyDescent="0.25">
      <c r="A499">
        <v>24</v>
      </c>
      <c r="B499" s="1">
        <v>44016</v>
      </c>
      <c r="C499" t="str">
        <f t="shared" si="33"/>
        <v>julio</v>
      </c>
      <c r="D499" t="s">
        <v>163</v>
      </c>
      <c r="E499" t="s">
        <v>25</v>
      </c>
      <c r="G499" t="s">
        <v>172</v>
      </c>
      <c r="H499">
        <v>4</v>
      </c>
      <c r="I499">
        <v>35</v>
      </c>
      <c r="J499" s="5">
        <f t="shared" si="34"/>
        <v>140</v>
      </c>
      <c r="K499">
        <v>100</v>
      </c>
      <c r="L499" s="9">
        <f t="shared" si="37"/>
        <v>400</v>
      </c>
      <c r="M499" s="9">
        <f t="shared" si="38"/>
        <v>260</v>
      </c>
    </row>
    <row r="500" spans="1:13" hidden="1" x14ac:dyDescent="0.25">
      <c r="A500">
        <v>25</v>
      </c>
      <c r="B500" s="1">
        <v>44016</v>
      </c>
      <c r="C500" t="str">
        <f t="shared" si="33"/>
        <v>julio</v>
      </c>
      <c r="D500" t="s">
        <v>163</v>
      </c>
      <c r="E500" t="s">
        <v>25</v>
      </c>
      <c r="G500" t="s">
        <v>173</v>
      </c>
      <c r="H500">
        <v>4</v>
      </c>
      <c r="I500">
        <v>70</v>
      </c>
      <c r="J500" s="5">
        <f t="shared" si="34"/>
        <v>280</v>
      </c>
      <c r="K500">
        <v>100</v>
      </c>
      <c r="L500" s="9">
        <f t="shared" si="37"/>
        <v>400</v>
      </c>
      <c r="M500" s="9">
        <f t="shared" si="38"/>
        <v>120</v>
      </c>
    </row>
    <row r="501" spans="1:13" hidden="1" x14ac:dyDescent="0.25">
      <c r="A501">
        <v>26</v>
      </c>
      <c r="B501" s="1">
        <v>44016</v>
      </c>
      <c r="C501" t="str">
        <f t="shared" si="33"/>
        <v>julio</v>
      </c>
      <c r="D501" t="s">
        <v>163</v>
      </c>
      <c r="E501" t="s">
        <v>25</v>
      </c>
      <c r="G501" t="s">
        <v>445</v>
      </c>
      <c r="H501">
        <v>4</v>
      </c>
      <c r="I501">
        <v>70</v>
      </c>
      <c r="J501" s="5">
        <f t="shared" si="34"/>
        <v>280</v>
      </c>
      <c r="K501">
        <v>100</v>
      </c>
      <c r="L501" s="9">
        <f t="shared" si="37"/>
        <v>400</v>
      </c>
      <c r="M501" s="9">
        <f t="shared" si="38"/>
        <v>120</v>
      </c>
    </row>
    <row r="502" spans="1:13" hidden="1" x14ac:dyDescent="0.25">
      <c r="A502">
        <v>27</v>
      </c>
      <c r="B502" s="1">
        <v>44019</v>
      </c>
      <c r="C502" t="str">
        <f t="shared" si="33"/>
        <v>julio</v>
      </c>
      <c r="D502" t="s">
        <v>167</v>
      </c>
      <c r="E502" t="s">
        <v>15</v>
      </c>
      <c r="G502" t="s">
        <v>397</v>
      </c>
      <c r="H502">
        <v>30</v>
      </c>
      <c r="I502">
        <v>219</v>
      </c>
      <c r="J502" s="5">
        <f t="shared" si="34"/>
        <v>6570</v>
      </c>
      <c r="K502">
        <v>250</v>
      </c>
      <c r="L502" s="9">
        <f t="shared" si="37"/>
        <v>7500</v>
      </c>
      <c r="M502" s="9">
        <f t="shared" si="38"/>
        <v>930</v>
      </c>
    </row>
    <row r="503" spans="1:13" hidden="1" x14ac:dyDescent="0.25">
      <c r="A503">
        <v>28</v>
      </c>
      <c r="B503" s="1">
        <v>44019</v>
      </c>
      <c r="C503" t="str">
        <f t="shared" si="33"/>
        <v>julio</v>
      </c>
      <c r="D503" t="s">
        <v>167</v>
      </c>
      <c r="E503" t="s">
        <v>15</v>
      </c>
      <c r="G503" t="s">
        <v>391</v>
      </c>
      <c r="H503">
        <v>10</v>
      </c>
      <c r="I503">
        <v>219</v>
      </c>
      <c r="J503" s="5">
        <f t="shared" si="34"/>
        <v>2190</v>
      </c>
      <c r="K503">
        <v>250</v>
      </c>
      <c r="L503" s="9">
        <f t="shared" si="37"/>
        <v>2500</v>
      </c>
      <c r="M503" s="9">
        <f t="shared" si="38"/>
        <v>310</v>
      </c>
    </row>
    <row r="504" spans="1:13" hidden="1" x14ac:dyDescent="0.25">
      <c r="A504">
        <v>29</v>
      </c>
      <c r="B504" s="1">
        <v>44019</v>
      </c>
      <c r="C504" t="str">
        <f t="shared" si="33"/>
        <v>julio</v>
      </c>
      <c r="D504" t="s">
        <v>167</v>
      </c>
      <c r="E504" t="s">
        <v>55</v>
      </c>
      <c r="G504" t="s">
        <v>398</v>
      </c>
      <c r="H504">
        <v>20</v>
      </c>
      <c r="I504">
        <v>206</v>
      </c>
      <c r="J504" s="5">
        <f t="shared" si="34"/>
        <v>4120</v>
      </c>
      <c r="K504">
        <v>270</v>
      </c>
      <c r="L504" s="9">
        <f t="shared" si="37"/>
        <v>5400</v>
      </c>
      <c r="M504" s="9">
        <f t="shared" si="38"/>
        <v>1280</v>
      </c>
    </row>
    <row r="505" spans="1:13" hidden="1" x14ac:dyDescent="0.25">
      <c r="A505">
        <v>30</v>
      </c>
      <c r="B505" s="1">
        <v>44019</v>
      </c>
      <c r="C505" t="str">
        <f t="shared" si="33"/>
        <v>julio</v>
      </c>
      <c r="D505" t="s">
        <v>167</v>
      </c>
      <c r="E505" t="s">
        <v>55</v>
      </c>
      <c r="G505" t="s">
        <v>435</v>
      </c>
      <c r="H505">
        <v>10</v>
      </c>
      <c r="I505">
        <v>206</v>
      </c>
      <c r="J505" s="5">
        <f t="shared" si="34"/>
        <v>2060</v>
      </c>
      <c r="K505">
        <v>270</v>
      </c>
      <c r="L505" s="9">
        <f t="shared" si="37"/>
        <v>2700</v>
      </c>
      <c r="M505" s="9">
        <f t="shared" si="38"/>
        <v>640</v>
      </c>
    </row>
    <row r="506" spans="1:13" hidden="1" x14ac:dyDescent="0.25">
      <c r="A506">
        <v>31</v>
      </c>
      <c r="B506" s="1">
        <v>44019</v>
      </c>
      <c r="C506" t="str">
        <f t="shared" si="33"/>
        <v>julio</v>
      </c>
      <c r="D506" t="s">
        <v>167</v>
      </c>
      <c r="E506" t="s">
        <v>55</v>
      </c>
      <c r="G506" t="s">
        <v>436</v>
      </c>
      <c r="H506">
        <v>10</v>
      </c>
      <c r="I506">
        <v>206</v>
      </c>
      <c r="J506" s="5">
        <f t="shared" si="34"/>
        <v>2060</v>
      </c>
      <c r="K506">
        <v>270</v>
      </c>
      <c r="L506" s="9">
        <f t="shared" si="37"/>
        <v>2700</v>
      </c>
      <c r="M506" s="9">
        <f t="shared" si="38"/>
        <v>640</v>
      </c>
    </row>
    <row r="507" spans="1:13" hidden="1" x14ac:dyDescent="0.25">
      <c r="A507">
        <v>32</v>
      </c>
      <c r="B507" s="1">
        <v>44019</v>
      </c>
      <c r="C507" t="str">
        <f t="shared" si="33"/>
        <v>julio</v>
      </c>
      <c r="D507" t="s">
        <v>167</v>
      </c>
      <c r="E507" t="s">
        <v>15</v>
      </c>
      <c r="G507" t="s">
        <v>104</v>
      </c>
      <c r="H507">
        <v>62.665100000000002</v>
      </c>
      <c r="I507">
        <v>268</v>
      </c>
      <c r="J507" s="5">
        <f t="shared" si="34"/>
        <v>16794.246800000001</v>
      </c>
      <c r="K507">
        <v>300</v>
      </c>
      <c r="L507" s="9">
        <f t="shared" si="37"/>
        <v>18799.530000000002</v>
      </c>
      <c r="M507" s="9">
        <f t="shared" si="38"/>
        <v>2005.2832000000017</v>
      </c>
    </row>
    <row r="508" spans="1:13" hidden="1" x14ac:dyDescent="0.25">
      <c r="A508">
        <v>33</v>
      </c>
      <c r="B508" s="1">
        <v>44019</v>
      </c>
      <c r="C508" t="str">
        <f t="shared" si="33"/>
        <v>julio</v>
      </c>
      <c r="D508" t="s">
        <v>167</v>
      </c>
      <c r="E508" t="s">
        <v>15</v>
      </c>
      <c r="G508" t="s">
        <v>359</v>
      </c>
      <c r="H508">
        <v>10</v>
      </c>
      <c r="I508">
        <v>247</v>
      </c>
      <c r="J508" s="5">
        <f t="shared" si="34"/>
        <v>2470</v>
      </c>
      <c r="K508">
        <v>280</v>
      </c>
      <c r="L508" s="9">
        <f t="shared" si="37"/>
        <v>2800</v>
      </c>
      <c r="M508" s="9">
        <f t="shared" si="38"/>
        <v>330</v>
      </c>
    </row>
    <row r="509" spans="1:13" hidden="1" x14ac:dyDescent="0.25">
      <c r="A509">
        <v>34</v>
      </c>
      <c r="B509" s="1">
        <v>44019</v>
      </c>
      <c r="C509" t="str">
        <f t="shared" si="33"/>
        <v>julio</v>
      </c>
      <c r="D509" t="s">
        <v>167</v>
      </c>
      <c r="E509" t="s">
        <v>78</v>
      </c>
      <c r="G509" t="s">
        <v>79</v>
      </c>
      <c r="H509">
        <v>1</v>
      </c>
      <c r="I509">
        <v>1302</v>
      </c>
      <c r="J509" s="5">
        <f t="shared" si="34"/>
        <v>1302</v>
      </c>
      <c r="K509">
        <v>1550</v>
      </c>
      <c r="L509" s="9">
        <f t="shared" si="37"/>
        <v>1550</v>
      </c>
      <c r="M509" s="9">
        <f t="shared" si="38"/>
        <v>248</v>
      </c>
    </row>
    <row r="510" spans="1:13" hidden="1" x14ac:dyDescent="0.25">
      <c r="A510">
        <v>35</v>
      </c>
      <c r="B510" s="1">
        <v>44022</v>
      </c>
      <c r="C510" t="str">
        <f t="shared" si="33"/>
        <v>julio</v>
      </c>
      <c r="D510" t="s">
        <v>13</v>
      </c>
      <c r="E510" t="s">
        <v>15</v>
      </c>
      <c r="G510" t="s">
        <v>104</v>
      </c>
      <c r="H510">
        <v>7.98</v>
      </c>
      <c r="I510">
        <v>280</v>
      </c>
      <c r="J510" s="5">
        <f t="shared" si="34"/>
        <v>2234.4</v>
      </c>
      <c r="K510">
        <v>300</v>
      </c>
      <c r="L510" s="9">
        <f t="shared" si="37"/>
        <v>2394</v>
      </c>
      <c r="M510" s="9">
        <f t="shared" si="38"/>
        <v>159.59999999999991</v>
      </c>
    </row>
    <row r="511" spans="1:13" x14ac:dyDescent="0.25">
      <c r="A511">
        <v>36</v>
      </c>
      <c r="B511" s="1">
        <v>44023</v>
      </c>
      <c r="C511" t="str">
        <f t="shared" si="33"/>
        <v>julio</v>
      </c>
      <c r="D511" t="s">
        <v>163</v>
      </c>
      <c r="E511" t="s">
        <v>15</v>
      </c>
      <c r="G511" t="s">
        <v>28</v>
      </c>
      <c r="H511">
        <v>50</v>
      </c>
      <c r="I511">
        <v>216</v>
      </c>
      <c r="J511" s="5">
        <f t="shared" si="34"/>
        <v>10800</v>
      </c>
      <c r="K511">
        <v>240</v>
      </c>
      <c r="L511" s="9">
        <f t="shared" si="37"/>
        <v>12000</v>
      </c>
      <c r="M511" s="9">
        <f t="shared" si="38"/>
        <v>1200</v>
      </c>
    </row>
    <row r="512" spans="1:13" x14ac:dyDescent="0.25">
      <c r="A512">
        <v>37</v>
      </c>
      <c r="B512" s="1">
        <v>44023</v>
      </c>
      <c r="C512" t="str">
        <f t="shared" si="33"/>
        <v>julio</v>
      </c>
      <c r="D512" t="s">
        <v>163</v>
      </c>
      <c r="E512" t="s">
        <v>15</v>
      </c>
      <c r="G512" t="s">
        <v>35</v>
      </c>
      <c r="H512">
        <v>15</v>
      </c>
      <c r="I512">
        <v>240</v>
      </c>
      <c r="J512" s="5">
        <f t="shared" si="34"/>
        <v>3600</v>
      </c>
      <c r="K512">
        <v>280</v>
      </c>
      <c r="L512" s="9">
        <f t="shared" si="37"/>
        <v>4200</v>
      </c>
      <c r="M512" s="9">
        <f t="shared" si="38"/>
        <v>600</v>
      </c>
    </row>
    <row r="513" spans="1:13" hidden="1" x14ac:dyDescent="0.25">
      <c r="A513">
        <v>38</v>
      </c>
      <c r="B513" s="1">
        <v>44023</v>
      </c>
      <c r="C513" t="str">
        <f t="shared" si="33"/>
        <v>julio</v>
      </c>
      <c r="D513" t="s">
        <v>163</v>
      </c>
      <c r="E513" t="s">
        <v>56</v>
      </c>
      <c r="G513" t="s">
        <v>171</v>
      </c>
      <c r="H513">
        <v>91</v>
      </c>
      <c r="I513">
        <v>123</v>
      </c>
      <c r="J513" s="5">
        <f t="shared" si="34"/>
        <v>11193</v>
      </c>
      <c r="K513">
        <v>170</v>
      </c>
      <c r="L513" s="9">
        <f t="shared" si="37"/>
        <v>15470</v>
      </c>
      <c r="M513" s="9">
        <f t="shared" si="38"/>
        <v>4277</v>
      </c>
    </row>
    <row r="514" spans="1:13" x14ac:dyDescent="0.25">
      <c r="A514">
        <v>39</v>
      </c>
      <c r="B514" s="1">
        <v>44023</v>
      </c>
      <c r="C514" t="str">
        <f t="shared" ref="C514:C577" si="39">+TEXT(B514,"mmmm")</f>
        <v>julio</v>
      </c>
      <c r="D514" t="s">
        <v>163</v>
      </c>
      <c r="E514" t="s">
        <v>15</v>
      </c>
      <c r="G514" t="s">
        <v>20</v>
      </c>
      <c r="H514">
        <v>50</v>
      </c>
      <c r="I514">
        <v>230</v>
      </c>
      <c r="J514" s="5">
        <f t="shared" ref="J514:J577" si="40">+H514*I514</f>
        <v>11500</v>
      </c>
      <c r="K514">
        <v>270</v>
      </c>
      <c r="L514" s="9">
        <f t="shared" si="37"/>
        <v>13500</v>
      </c>
      <c r="M514" s="9">
        <f t="shared" si="38"/>
        <v>2000</v>
      </c>
    </row>
    <row r="515" spans="1:13" hidden="1" x14ac:dyDescent="0.25">
      <c r="A515">
        <v>40</v>
      </c>
      <c r="B515" s="1">
        <v>44029</v>
      </c>
      <c r="C515" t="str">
        <f t="shared" si="39"/>
        <v>julio</v>
      </c>
      <c r="D515" t="s">
        <v>167</v>
      </c>
      <c r="E515" t="s">
        <v>55</v>
      </c>
      <c r="G515" t="s">
        <v>416</v>
      </c>
      <c r="H515">
        <v>20</v>
      </c>
      <c r="I515">
        <v>207</v>
      </c>
      <c r="J515" s="5">
        <f t="shared" si="40"/>
        <v>4140</v>
      </c>
      <c r="K515">
        <v>270</v>
      </c>
      <c r="L515" s="9">
        <f t="shared" si="37"/>
        <v>5400</v>
      </c>
      <c r="M515" s="9">
        <f t="shared" si="38"/>
        <v>1260</v>
      </c>
    </row>
    <row r="516" spans="1:13" hidden="1" x14ac:dyDescent="0.25">
      <c r="A516">
        <v>41</v>
      </c>
      <c r="B516" s="1">
        <v>44029</v>
      </c>
      <c r="C516" t="str">
        <f t="shared" si="39"/>
        <v>julio</v>
      </c>
      <c r="D516" t="s">
        <v>167</v>
      </c>
      <c r="E516" t="s">
        <v>55</v>
      </c>
      <c r="G516" t="s">
        <v>433</v>
      </c>
      <c r="H516">
        <v>10</v>
      </c>
      <c r="I516">
        <v>207</v>
      </c>
      <c r="J516" s="5">
        <f t="shared" si="40"/>
        <v>2070</v>
      </c>
      <c r="K516">
        <v>270</v>
      </c>
      <c r="L516" s="9">
        <f t="shared" si="37"/>
        <v>2700</v>
      </c>
      <c r="M516" s="9">
        <f t="shared" si="38"/>
        <v>630</v>
      </c>
    </row>
    <row r="517" spans="1:13" hidden="1" x14ac:dyDescent="0.25">
      <c r="A517">
        <v>42</v>
      </c>
      <c r="B517" s="1">
        <v>44029</v>
      </c>
      <c r="C517" t="str">
        <f t="shared" si="39"/>
        <v>julio</v>
      </c>
      <c r="D517" t="s">
        <v>167</v>
      </c>
      <c r="E517" t="s">
        <v>55</v>
      </c>
      <c r="G517" t="s">
        <v>22</v>
      </c>
      <c r="H517">
        <v>42.48</v>
      </c>
      <c r="I517">
        <v>268</v>
      </c>
      <c r="J517" s="5">
        <f t="shared" si="40"/>
        <v>11384.64</v>
      </c>
      <c r="K517">
        <v>300</v>
      </c>
      <c r="L517" s="9">
        <f t="shared" si="37"/>
        <v>12743.999999999998</v>
      </c>
      <c r="M517" s="9">
        <f t="shared" si="38"/>
        <v>1359.3599999999988</v>
      </c>
    </row>
    <row r="518" spans="1:13" hidden="1" x14ac:dyDescent="0.25">
      <c r="A518">
        <v>43</v>
      </c>
      <c r="B518" s="1">
        <v>44029</v>
      </c>
      <c r="C518" t="str">
        <f t="shared" si="39"/>
        <v>julio</v>
      </c>
      <c r="D518" t="s">
        <v>167</v>
      </c>
      <c r="E518" t="s">
        <v>55</v>
      </c>
      <c r="G518" t="s">
        <v>108</v>
      </c>
      <c r="H518">
        <v>7.0799000000000003</v>
      </c>
      <c r="I518">
        <v>268</v>
      </c>
      <c r="J518" s="5">
        <f t="shared" si="40"/>
        <v>1897.4132000000002</v>
      </c>
      <c r="K518">
        <v>300</v>
      </c>
      <c r="L518" s="9">
        <f t="shared" si="37"/>
        <v>2123.9700000000003</v>
      </c>
      <c r="M518" s="9">
        <f t="shared" si="38"/>
        <v>226.55680000000007</v>
      </c>
    </row>
    <row r="519" spans="1:13" hidden="1" x14ac:dyDescent="0.25">
      <c r="A519">
        <v>44</v>
      </c>
      <c r="B519" s="1">
        <v>44029</v>
      </c>
      <c r="C519" t="str">
        <f t="shared" si="39"/>
        <v>julio</v>
      </c>
      <c r="D519" t="s">
        <v>167</v>
      </c>
      <c r="E519" t="s">
        <v>15</v>
      </c>
      <c r="G519" t="s">
        <v>427</v>
      </c>
      <c r="H519">
        <v>12</v>
      </c>
      <c r="I519">
        <v>207</v>
      </c>
      <c r="J519" s="5">
        <f t="shared" si="40"/>
        <v>2484</v>
      </c>
      <c r="K519">
        <v>240</v>
      </c>
      <c r="L519" s="9">
        <f t="shared" si="37"/>
        <v>2880</v>
      </c>
      <c r="M519" s="9">
        <f t="shared" si="38"/>
        <v>396</v>
      </c>
    </row>
    <row r="520" spans="1:13" hidden="1" x14ac:dyDescent="0.25">
      <c r="A520">
        <v>45</v>
      </c>
      <c r="B520" s="1">
        <v>44029</v>
      </c>
      <c r="C520" t="str">
        <f t="shared" si="39"/>
        <v>julio</v>
      </c>
      <c r="D520" t="s">
        <v>167</v>
      </c>
      <c r="E520" t="s">
        <v>78</v>
      </c>
      <c r="G520" t="s">
        <v>79</v>
      </c>
      <c r="H520">
        <v>1</v>
      </c>
      <c r="I520">
        <v>1302</v>
      </c>
      <c r="J520" s="5">
        <f t="shared" si="40"/>
        <v>1302</v>
      </c>
      <c r="K520">
        <v>1550</v>
      </c>
      <c r="L520" s="9">
        <f t="shared" si="37"/>
        <v>1550</v>
      </c>
      <c r="M520" s="9">
        <f t="shared" si="38"/>
        <v>248</v>
      </c>
    </row>
    <row r="521" spans="1:13" hidden="1" x14ac:dyDescent="0.25">
      <c r="A521">
        <v>46</v>
      </c>
      <c r="B521" s="1">
        <v>44029</v>
      </c>
      <c r="C521" t="str">
        <f t="shared" si="39"/>
        <v>julio</v>
      </c>
      <c r="D521" t="s">
        <v>167</v>
      </c>
      <c r="E521" t="s">
        <v>70</v>
      </c>
      <c r="G521" t="s">
        <v>290</v>
      </c>
      <c r="H521">
        <v>2</v>
      </c>
      <c r="I521">
        <v>311</v>
      </c>
      <c r="J521" s="5">
        <f t="shared" si="40"/>
        <v>622</v>
      </c>
      <c r="K521">
        <v>400</v>
      </c>
      <c r="L521" s="9">
        <f t="shared" si="37"/>
        <v>800</v>
      </c>
      <c r="M521" s="9">
        <f t="shared" si="38"/>
        <v>178</v>
      </c>
    </row>
    <row r="522" spans="1:13" hidden="1" x14ac:dyDescent="0.25">
      <c r="A522">
        <v>47</v>
      </c>
      <c r="B522" s="1">
        <v>44029</v>
      </c>
      <c r="C522" t="str">
        <f t="shared" si="39"/>
        <v>julio</v>
      </c>
      <c r="D522" t="s">
        <v>167</v>
      </c>
      <c r="E522" t="s">
        <v>15</v>
      </c>
      <c r="G522" t="s">
        <v>401</v>
      </c>
      <c r="H522">
        <v>30</v>
      </c>
      <c r="I522">
        <v>268</v>
      </c>
      <c r="J522" s="5">
        <f t="shared" si="40"/>
        <v>8040</v>
      </c>
      <c r="K522">
        <v>300</v>
      </c>
      <c r="L522" s="9">
        <f t="shared" si="37"/>
        <v>9000</v>
      </c>
      <c r="M522" s="9">
        <f t="shared" si="38"/>
        <v>960</v>
      </c>
    </row>
    <row r="523" spans="1:13" hidden="1" x14ac:dyDescent="0.25">
      <c r="A523">
        <v>48</v>
      </c>
      <c r="B523" s="1">
        <v>44029</v>
      </c>
      <c r="C523" t="str">
        <f t="shared" si="39"/>
        <v>julio</v>
      </c>
      <c r="D523" t="s">
        <v>167</v>
      </c>
      <c r="E523" t="s">
        <v>70</v>
      </c>
      <c r="G523" t="s">
        <v>290</v>
      </c>
      <c r="H523">
        <v>1</v>
      </c>
      <c r="I523">
        <v>311</v>
      </c>
      <c r="J523" s="5">
        <f t="shared" si="40"/>
        <v>311</v>
      </c>
      <c r="K523">
        <v>400</v>
      </c>
      <c r="L523" s="9">
        <f t="shared" ref="L523:L554" si="41">+H523*K523</f>
        <v>400</v>
      </c>
      <c r="M523" s="9">
        <f t="shared" ref="M523:M554" si="42">+L523-J523</f>
        <v>89</v>
      </c>
    </row>
    <row r="524" spans="1:13" hidden="1" x14ac:dyDescent="0.25">
      <c r="A524">
        <v>49</v>
      </c>
      <c r="B524" s="1">
        <v>44029</v>
      </c>
      <c r="C524" t="str">
        <f t="shared" si="39"/>
        <v>julio</v>
      </c>
      <c r="D524" t="s">
        <v>167</v>
      </c>
      <c r="E524" t="s">
        <v>55</v>
      </c>
      <c r="G524" t="s">
        <v>434</v>
      </c>
      <c r="H524">
        <v>10</v>
      </c>
      <c r="I524">
        <v>268</v>
      </c>
      <c r="J524" s="5">
        <f t="shared" si="40"/>
        <v>2680</v>
      </c>
      <c r="K524">
        <v>300</v>
      </c>
      <c r="L524" s="9">
        <f t="shared" si="41"/>
        <v>3000</v>
      </c>
      <c r="M524" s="9">
        <f t="shared" si="42"/>
        <v>320</v>
      </c>
    </row>
    <row r="525" spans="1:13" hidden="1" x14ac:dyDescent="0.25">
      <c r="A525">
        <v>50</v>
      </c>
      <c r="B525" s="1">
        <v>44029</v>
      </c>
      <c r="C525" t="str">
        <f t="shared" si="39"/>
        <v>julio</v>
      </c>
      <c r="D525" t="s">
        <v>167</v>
      </c>
      <c r="E525" t="s">
        <v>55</v>
      </c>
      <c r="G525" t="s">
        <v>149</v>
      </c>
      <c r="H525">
        <v>5</v>
      </c>
      <c r="I525">
        <v>268</v>
      </c>
      <c r="J525" s="5">
        <f t="shared" si="40"/>
        <v>1340</v>
      </c>
      <c r="K525">
        <v>300</v>
      </c>
      <c r="L525" s="9">
        <f t="shared" si="41"/>
        <v>1500</v>
      </c>
      <c r="M525" s="9">
        <f t="shared" si="42"/>
        <v>160</v>
      </c>
    </row>
    <row r="526" spans="1:13" hidden="1" x14ac:dyDescent="0.25">
      <c r="A526">
        <v>51</v>
      </c>
      <c r="B526" s="1">
        <v>44029</v>
      </c>
      <c r="C526" t="str">
        <f t="shared" si="39"/>
        <v>julio</v>
      </c>
      <c r="D526" t="s">
        <v>167</v>
      </c>
      <c r="E526" t="s">
        <v>55</v>
      </c>
      <c r="G526" t="s">
        <v>399</v>
      </c>
      <c r="H526">
        <v>1.4159999999999999</v>
      </c>
      <c r="I526">
        <v>268</v>
      </c>
      <c r="J526" s="5">
        <f t="shared" si="40"/>
        <v>379.488</v>
      </c>
      <c r="K526">
        <v>300</v>
      </c>
      <c r="L526" s="9">
        <f t="shared" si="41"/>
        <v>424.79999999999995</v>
      </c>
      <c r="M526" s="9">
        <f t="shared" si="42"/>
        <v>45.311999999999955</v>
      </c>
    </row>
    <row r="527" spans="1:13" x14ac:dyDescent="0.25">
      <c r="A527">
        <v>52</v>
      </c>
      <c r="B527" s="1">
        <v>44030</v>
      </c>
      <c r="C527" t="str">
        <f t="shared" si="39"/>
        <v>julio</v>
      </c>
      <c r="D527" t="s">
        <v>163</v>
      </c>
      <c r="E527" t="s">
        <v>15</v>
      </c>
      <c r="G527" t="s">
        <v>396</v>
      </c>
      <c r="H527">
        <v>10</v>
      </c>
      <c r="I527">
        <v>246</v>
      </c>
      <c r="J527" s="5">
        <f t="shared" si="40"/>
        <v>2460</v>
      </c>
      <c r="L527" s="9">
        <f t="shared" si="41"/>
        <v>0</v>
      </c>
      <c r="M527" s="9">
        <f t="shared" si="42"/>
        <v>-2460</v>
      </c>
    </row>
    <row r="528" spans="1:13" x14ac:dyDescent="0.25">
      <c r="A528">
        <v>53</v>
      </c>
      <c r="B528" s="1">
        <v>44030</v>
      </c>
      <c r="C528" t="str">
        <f t="shared" si="39"/>
        <v>julio</v>
      </c>
      <c r="D528" t="s">
        <v>163</v>
      </c>
      <c r="E528" t="s">
        <v>15</v>
      </c>
      <c r="G528" t="s">
        <v>20</v>
      </c>
      <c r="H528">
        <v>90</v>
      </c>
      <c r="I528">
        <v>230</v>
      </c>
      <c r="J528" s="5">
        <f t="shared" si="40"/>
        <v>20700</v>
      </c>
      <c r="K528">
        <v>270</v>
      </c>
      <c r="L528" s="9">
        <f t="shared" si="41"/>
        <v>24300</v>
      </c>
      <c r="M528" s="9">
        <f t="shared" si="42"/>
        <v>3600</v>
      </c>
    </row>
    <row r="529" spans="1:13" x14ac:dyDescent="0.25">
      <c r="A529">
        <v>54</v>
      </c>
      <c r="B529" s="1">
        <v>44030</v>
      </c>
      <c r="C529" t="str">
        <f t="shared" si="39"/>
        <v>julio</v>
      </c>
      <c r="D529" t="s">
        <v>163</v>
      </c>
      <c r="E529" t="s">
        <v>15</v>
      </c>
      <c r="G529" t="s">
        <v>29</v>
      </c>
      <c r="H529">
        <v>100</v>
      </c>
      <c r="I529">
        <v>210</v>
      </c>
      <c r="J529" s="5">
        <f t="shared" si="40"/>
        <v>21000</v>
      </c>
      <c r="K529">
        <v>240</v>
      </c>
      <c r="L529" s="9">
        <f t="shared" si="41"/>
        <v>24000</v>
      </c>
      <c r="M529" s="9">
        <f t="shared" si="42"/>
        <v>3000</v>
      </c>
    </row>
    <row r="530" spans="1:13" hidden="1" x14ac:dyDescent="0.25">
      <c r="A530">
        <v>55</v>
      </c>
      <c r="B530" s="1">
        <v>44030</v>
      </c>
      <c r="C530" t="str">
        <f t="shared" si="39"/>
        <v>julio</v>
      </c>
      <c r="D530" t="s">
        <v>163</v>
      </c>
      <c r="E530" t="s">
        <v>56</v>
      </c>
      <c r="G530" t="s">
        <v>171</v>
      </c>
      <c r="H530">
        <v>39</v>
      </c>
      <c r="I530">
        <v>123</v>
      </c>
      <c r="J530" s="5">
        <f t="shared" si="40"/>
        <v>4797</v>
      </c>
      <c r="K530">
        <v>170</v>
      </c>
      <c r="L530" s="9">
        <f t="shared" si="41"/>
        <v>6630</v>
      </c>
      <c r="M530" s="9">
        <f t="shared" si="42"/>
        <v>1833</v>
      </c>
    </row>
    <row r="531" spans="1:13" hidden="1" x14ac:dyDescent="0.25">
      <c r="A531">
        <v>56</v>
      </c>
      <c r="B531" s="1">
        <v>44030</v>
      </c>
      <c r="C531" t="str">
        <f t="shared" si="39"/>
        <v>julio</v>
      </c>
      <c r="D531" t="s">
        <v>163</v>
      </c>
      <c r="E531" t="s">
        <v>56</v>
      </c>
      <c r="G531" t="s">
        <v>176</v>
      </c>
      <c r="H531">
        <v>26</v>
      </c>
      <c r="I531">
        <v>188</v>
      </c>
      <c r="J531" s="5">
        <f t="shared" si="40"/>
        <v>4888</v>
      </c>
      <c r="K531">
        <v>260</v>
      </c>
      <c r="L531" s="9">
        <f t="shared" si="41"/>
        <v>6760</v>
      </c>
      <c r="M531" s="9">
        <f t="shared" si="42"/>
        <v>1872</v>
      </c>
    </row>
    <row r="532" spans="1:13" hidden="1" x14ac:dyDescent="0.25">
      <c r="A532">
        <v>57</v>
      </c>
      <c r="B532" s="1">
        <v>44034</v>
      </c>
      <c r="C532" t="str">
        <f t="shared" si="39"/>
        <v>julio</v>
      </c>
      <c r="D532" t="s">
        <v>13</v>
      </c>
      <c r="E532" t="s">
        <v>55</v>
      </c>
      <c r="G532" t="s">
        <v>247</v>
      </c>
      <c r="H532">
        <v>2.82</v>
      </c>
      <c r="I532">
        <v>280</v>
      </c>
      <c r="J532" s="5">
        <f t="shared" si="40"/>
        <v>789.59999999999991</v>
      </c>
      <c r="K532">
        <v>300</v>
      </c>
      <c r="L532" s="9">
        <f t="shared" si="41"/>
        <v>846</v>
      </c>
      <c r="M532" s="9">
        <f t="shared" si="42"/>
        <v>56.400000000000091</v>
      </c>
    </row>
    <row r="533" spans="1:13" hidden="1" x14ac:dyDescent="0.25">
      <c r="A533">
        <v>58</v>
      </c>
      <c r="B533" s="1">
        <v>44034</v>
      </c>
      <c r="C533" t="str">
        <f t="shared" si="39"/>
        <v>julio</v>
      </c>
      <c r="D533" t="s">
        <v>13</v>
      </c>
      <c r="E533" t="s">
        <v>55</v>
      </c>
      <c r="G533" t="s">
        <v>146</v>
      </c>
      <c r="H533">
        <v>1.41</v>
      </c>
      <c r="I533">
        <v>280</v>
      </c>
      <c r="J533" s="5">
        <f t="shared" si="40"/>
        <v>394.79999999999995</v>
      </c>
      <c r="K533">
        <v>300</v>
      </c>
      <c r="L533" s="9">
        <f t="shared" si="41"/>
        <v>423</v>
      </c>
      <c r="M533" s="9">
        <f t="shared" si="42"/>
        <v>28.200000000000045</v>
      </c>
    </row>
    <row r="534" spans="1:13" x14ac:dyDescent="0.25">
      <c r="A534">
        <v>59</v>
      </c>
      <c r="B534" s="1">
        <v>44037</v>
      </c>
      <c r="C534" t="str">
        <f t="shared" si="39"/>
        <v>julio</v>
      </c>
      <c r="D534" t="s">
        <v>163</v>
      </c>
      <c r="E534" t="s">
        <v>15</v>
      </c>
      <c r="G534" t="s">
        <v>35</v>
      </c>
      <c r="H534">
        <v>1</v>
      </c>
      <c r="I534">
        <v>240</v>
      </c>
      <c r="J534" s="5">
        <f t="shared" si="40"/>
        <v>240</v>
      </c>
      <c r="K534">
        <v>280</v>
      </c>
      <c r="L534" s="9">
        <f t="shared" si="41"/>
        <v>280</v>
      </c>
      <c r="M534" s="9">
        <f t="shared" si="42"/>
        <v>40</v>
      </c>
    </row>
    <row r="535" spans="1:13" x14ac:dyDescent="0.25">
      <c r="A535">
        <v>60</v>
      </c>
      <c r="B535" s="1">
        <v>44037</v>
      </c>
      <c r="C535" t="str">
        <f t="shared" si="39"/>
        <v>julio</v>
      </c>
      <c r="D535" t="s">
        <v>163</v>
      </c>
      <c r="E535" t="s">
        <v>15</v>
      </c>
      <c r="G535" t="s">
        <v>312</v>
      </c>
      <c r="H535">
        <v>2</v>
      </c>
      <c r="I535">
        <v>277</v>
      </c>
      <c r="J535" s="5">
        <f t="shared" si="40"/>
        <v>554</v>
      </c>
      <c r="K535">
        <v>300</v>
      </c>
      <c r="L535" s="9">
        <f t="shared" si="41"/>
        <v>600</v>
      </c>
      <c r="M535" s="9">
        <f t="shared" si="42"/>
        <v>46</v>
      </c>
    </row>
    <row r="536" spans="1:13" hidden="1" x14ac:dyDescent="0.25">
      <c r="A536">
        <v>61</v>
      </c>
      <c r="B536" s="1">
        <v>44037</v>
      </c>
      <c r="C536" t="str">
        <f t="shared" si="39"/>
        <v>julio</v>
      </c>
      <c r="D536" t="s">
        <v>163</v>
      </c>
      <c r="E536" t="s">
        <v>56</v>
      </c>
      <c r="G536" t="s">
        <v>171</v>
      </c>
      <c r="H536">
        <v>104</v>
      </c>
      <c r="I536">
        <v>123</v>
      </c>
      <c r="J536" s="5">
        <f t="shared" si="40"/>
        <v>12792</v>
      </c>
      <c r="K536">
        <v>170</v>
      </c>
      <c r="L536" s="9">
        <f t="shared" si="41"/>
        <v>17680</v>
      </c>
      <c r="M536" s="9">
        <f t="shared" si="42"/>
        <v>4888</v>
      </c>
    </row>
    <row r="537" spans="1:13" x14ac:dyDescent="0.25">
      <c r="A537">
        <v>62</v>
      </c>
      <c r="B537" s="1">
        <v>44037</v>
      </c>
      <c r="C537" t="str">
        <f t="shared" si="39"/>
        <v>julio</v>
      </c>
      <c r="D537" t="s">
        <v>163</v>
      </c>
      <c r="E537" t="s">
        <v>15</v>
      </c>
      <c r="G537" t="s">
        <v>29</v>
      </c>
      <c r="H537">
        <v>200</v>
      </c>
      <c r="I537">
        <v>210</v>
      </c>
      <c r="J537" s="5">
        <f t="shared" si="40"/>
        <v>42000</v>
      </c>
      <c r="K537">
        <v>240</v>
      </c>
      <c r="L537" s="9">
        <f t="shared" si="41"/>
        <v>48000</v>
      </c>
      <c r="M537" s="9">
        <f t="shared" si="42"/>
        <v>6000</v>
      </c>
    </row>
    <row r="538" spans="1:13" hidden="1" x14ac:dyDescent="0.25">
      <c r="A538">
        <v>63</v>
      </c>
      <c r="B538" s="1">
        <v>44040</v>
      </c>
      <c r="C538" t="str">
        <f t="shared" si="39"/>
        <v>julio</v>
      </c>
      <c r="D538" t="s">
        <v>13</v>
      </c>
      <c r="E538" t="s">
        <v>15</v>
      </c>
      <c r="G538" t="s">
        <v>401</v>
      </c>
      <c r="H538">
        <v>10.64</v>
      </c>
      <c r="I538">
        <v>280</v>
      </c>
      <c r="J538" s="5">
        <f t="shared" si="40"/>
        <v>2979.2000000000003</v>
      </c>
      <c r="K538">
        <v>300</v>
      </c>
      <c r="L538" s="9">
        <f t="shared" si="41"/>
        <v>3192</v>
      </c>
      <c r="M538" s="9">
        <f t="shared" si="42"/>
        <v>212.79999999999973</v>
      </c>
    </row>
    <row r="539" spans="1:13" hidden="1" x14ac:dyDescent="0.25">
      <c r="A539">
        <v>64</v>
      </c>
      <c r="B539" s="1">
        <v>44041</v>
      </c>
      <c r="C539" t="str">
        <f t="shared" si="39"/>
        <v>julio</v>
      </c>
      <c r="D539" t="s">
        <v>167</v>
      </c>
      <c r="E539" t="s">
        <v>15</v>
      </c>
      <c r="G539" t="s">
        <v>411</v>
      </c>
      <c r="H539">
        <v>1.22</v>
      </c>
      <c r="I539">
        <v>306</v>
      </c>
      <c r="J539" s="5">
        <f t="shared" si="40"/>
        <v>373.32</v>
      </c>
      <c r="K539">
        <v>360</v>
      </c>
      <c r="L539" s="9">
        <f t="shared" si="41"/>
        <v>439.2</v>
      </c>
      <c r="M539" s="9">
        <f t="shared" si="42"/>
        <v>65.88</v>
      </c>
    </row>
    <row r="540" spans="1:13" hidden="1" x14ac:dyDescent="0.25">
      <c r="A540">
        <v>65</v>
      </c>
      <c r="B540" s="1">
        <v>44041</v>
      </c>
      <c r="C540" t="str">
        <f t="shared" si="39"/>
        <v>julio</v>
      </c>
      <c r="D540" t="s">
        <v>167</v>
      </c>
      <c r="E540" t="s">
        <v>15</v>
      </c>
      <c r="G540" t="s">
        <v>17</v>
      </c>
      <c r="H540">
        <v>14.64</v>
      </c>
      <c r="I540">
        <v>306</v>
      </c>
      <c r="J540" s="5">
        <f t="shared" si="40"/>
        <v>4479.84</v>
      </c>
      <c r="K540">
        <v>360</v>
      </c>
      <c r="L540" s="9">
        <f t="shared" si="41"/>
        <v>5270.4000000000005</v>
      </c>
      <c r="M540" s="9">
        <f t="shared" si="42"/>
        <v>790.5600000000004</v>
      </c>
    </row>
    <row r="541" spans="1:13" hidden="1" x14ac:dyDescent="0.25">
      <c r="A541">
        <v>66</v>
      </c>
      <c r="B541" s="1">
        <v>44041</v>
      </c>
      <c r="C541" t="str">
        <f t="shared" si="39"/>
        <v>julio</v>
      </c>
      <c r="D541" t="s">
        <v>167</v>
      </c>
      <c r="E541" t="s">
        <v>15</v>
      </c>
      <c r="G541" t="s">
        <v>429</v>
      </c>
      <c r="H541">
        <v>1.22</v>
      </c>
      <c r="I541">
        <v>306</v>
      </c>
      <c r="J541" s="5">
        <f t="shared" si="40"/>
        <v>373.32</v>
      </c>
      <c r="K541">
        <v>360</v>
      </c>
      <c r="L541" s="9">
        <f t="shared" si="41"/>
        <v>439.2</v>
      </c>
      <c r="M541" s="9">
        <f t="shared" si="42"/>
        <v>65.88</v>
      </c>
    </row>
    <row r="542" spans="1:13" hidden="1" x14ac:dyDescent="0.25">
      <c r="A542">
        <v>67</v>
      </c>
      <c r="B542" s="1">
        <v>44041</v>
      </c>
      <c r="C542" t="str">
        <f t="shared" si="39"/>
        <v>julio</v>
      </c>
      <c r="D542" t="s">
        <v>167</v>
      </c>
      <c r="E542" t="s">
        <v>70</v>
      </c>
      <c r="G542" t="s">
        <v>420</v>
      </c>
      <c r="H542">
        <v>1</v>
      </c>
      <c r="I542">
        <v>2800</v>
      </c>
      <c r="J542" s="5">
        <f t="shared" si="40"/>
        <v>2800</v>
      </c>
      <c r="K542">
        <v>3200</v>
      </c>
      <c r="L542" s="9">
        <f t="shared" si="41"/>
        <v>3200</v>
      </c>
      <c r="M542" s="9">
        <f t="shared" si="42"/>
        <v>400</v>
      </c>
    </row>
    <row r="543" spans="1:13" hidden="1" x14ac:dyDescent="0.25">
      <c r="A543">
        <v>68</v>
      </c>
      <c r="B543" s="1">
        <v>44041</v>
      </c>
      <c r="C543" t="str">
        <f t="shared" si="39"/>
        <v>julio</v>
      </c>
      <c r="D543" t="s">
        <v>167</v>
      </c>
      <c r="E543" t="s">
        <v>55</v>
      </c>
      <c r="G543" t="s">
        <v>430</v>
      </c>
      <c r="H543">
        <v>10</v>
      </c>
      <c r="I543">
        <v>268</v>
      </c>
      <c r="J543" s="5">
        <f t="shared" si="40"/>
        <v>2680</v>
      </c>
      <c r="K543">
        <v>300</v>
      </c>
      <c r="L543" s="9">
        <f t="shared" si="41"/>
        <v>3000</v>
      </c>
      <c r="M543" s="9">
        <f t="shared" si="42"/>
        <v>320</v>
      </c>
    </row>
    <row r="544" spans="1:13" hidden="1" x14ac:dyDescent="0.25">
      <c r="A544">
        <v>69</v>
      </c>
      <c r="B544" s="1">
        <v>44041</v>
      </c>
      <c r="C544" t="str">
        <f t="shared" si="39"/>
        <v>julio</v>
      </c>
      <c r="D544" t="s">
        <v>167</v>
      </c>
      <c r="E544" t="s">
        <v>55</v>
      </c>
      <c r="G544" t="s">
        <v>431</v>
      </c>
      <c r="H544">
        <v>10</v>
      </c>
      <c r="I544">
        <v>268</v>
      </c>
      <c r="J544" s="5">
        <f t="shared" si="40"/>
        <v>2680</v>
      </c>
      <c r="K544">
        <v>300</v>
      </c>
      <c r="L544" s="9">
        <f t="shared" si="41"/>
        <v>3000</v>
      </c>
      <c r="M544" s="9">
        <f t="shared" si="42"/>
        <v>320</v>
      </c>
    </row>
    <row r="545" spans="1:15" hidden="1" x14ac:dyDescent="0.25">
      <c r="A545">
        <v>70</v>
      </c>
      <c r="B545" s="1">
        <v>44041</v>
      </c>
      <c r="C545" t="str">
        <f t="shared" si="39"/>
        <v>julio</v>
      </c>
      <c r="D545" t="s">
        <v>167</v>
      </c>
      <c r="E545" t="s">
        <v>55</v>
      </c>
      <c r="G545" t="s">
        <v>432</v>
      </c>
      <c r="H545">
        <v>5</v>
      </c>
      <c r="I545">
        <v>268</v>
      </c>
      <c r="J545" s="5">
        <f t="shared" si="40"/>
        <v>1340</v>
      </c>
      <c r="K545">
        <v>300</v>
      </c>
      <c r="L545" s="9">
        <f t="shared" si="41"/>
        <v>1500</v>
      </c>
      <c r="M545" s="9">
        <f t="shared" si="42"/>
        <v>160</v>
      </c>
    </row>
    <row r="546" spans="1:15" hidden="1" x14ac:dyDescent="0.25">
      <c r="A546">
        <v>71</v>
      </c>
      <c r="B546" s="1">
        <v>44041</v>
      </c>
      <c r="C546" t="str">
        <f t="shared" si="39"/>
        <v>julio</v>
      </c>
      <c r="D546" t="s">
        <v>167</v>
      </c>
      <c r="E546" t="s">
        <v>78</v>
      </c>
      <c r="G546" t="s">
        <v>79</v>
      </c>
      <c r="H546">
        <v>1</v>
      </c>
      <c r="I546">
        <v>1330</v>
      </c>
      <c r="J546" s="5">
        <f t="shared" si="40"/>
        <v>1330</v>
      </c>
      <c r="K546">
        <v>1550</v>
      </c>
      <c r="L546" s="9">
        <f t="shared" si="41"/>
        <v>1550</v>
      </c>
      <c r="M546" s="9">
        <f t="shared" si="42"/>
        <v>220</v>
      </c>
    </row>
    <row r="547" spans="1:15" hidden="1" x14ac:dyDescent="0.25">
      <c r="A547">
        <v>72</v>
      </c>
      <c r="B547" s="1">
        <v>44041</v>
      </c>
      <c r="C547" t="str">
        <f t="shared" si="39"/>
        <v>julio</v>
      </c>
      <c r="D547" t="s">
        <v>167</v>
      </c>
      <c r="E547" t="s">
        <v>78</v>
      </c>
      <c r="G547" t="s">
        <v>79</v>
      </c>
      <c r="H547">
        <v>1</v>
      </c>
      <c r="I547">
        <v>1302</v>
      </c>
      <c r="J547" s="5">
        <f t="shared" si="40"/>
        <v>1302</v>
      </c>
      <c r="K547">
        <v>1550</v>
      </c>
      <c r="L547" s="9">
        <f t="shared" si="41"/>
        <v>1550</v>
      </c>
      <c r="M547" s="9">
        <f t="shared" si="42"/>
        <v>248</v>
      </c>
    </row>
    <row r="548" spans="1:15" hidden="1" x14ac:dyDescent="0.25">
      <c r="A548">
        <v>73</v>
      </c>
      <c r="B548" s="1">
        <v>44043</v>
      </c>
      <c r="C548" t="str">
        <f t="shared" si="39"/>
        <v>julio</v>
      </c>
      <c r="D548" t="s">
        <v>163</v>
      </c>
      <c r="E548" t="s">
        <v>75</v>
      </c>
      <c r="G548" t="s">
        <v>443</v>
      </c>
      <c r="H548">
        <v>40</v>
      </c>
      <c r="I548">
        <v>31</v>
      </c>
      <c r="J548" s="5">
        <f t="shared" si="40"/>
        <v>1240</v>
      </c>
      <c r="K548">
        <v>45</v>
      </c>
      <c r="L548" s="9">
        <f t="shared" si="41"/>
        <v>1800</v>
      </c>
      <c r="M548" s="9">
        <f t="shared" si="42"/>
        <v>560</v>
      </c>
    </row>
    <row r="549" spans="1:15" x14ac:dyDescent="0.25">
      <c r="A549">
        <v>74</v>
      </c>
      <c r="B549" s="1">
        <v>44043</v>
      </c>
      <c r="C549" t="str">
        <f t="shared" si="39"/>
        <v>julio</v>
      </c>
      <c r="D549" t="s">
        <v>163</v>
      </c>
      <c r="E549" t="s">
        <v>15</v>
      </c>
      <c r="G549" t="s">
        <v>32</v>
      </c>
      <c r="H549">
        <v>5</v>
      </c>
      <c r="I549">
        <v>246</v>
      </c>
      <c r="J549" s="5">
        <f t="shared" si="40"/>
        <v>1230</v>
      </c>
      <c r="K549">
        <v>280</v>
      </c>
      <c r="L549" s="9">
        <f t="shared" si="41"/>
        <v>1400</v>
      </c>
      <c r="M549" s="9">
        <f t="shared" si="42"/>
        <v>170</v>
      </c>
    </row>
    <row r="550" spans="1:15" x14ac:dyDescent="0.25">
      <c r="A550">
        <v>75</v>
      </c>
      <c r="B550" s="1">
        <v>44043</v>
      </c>
      <c r="C550" t="str">
        <f t="shared" si="39"/>
        <v>julio</v>
      </c>
      <c r="D550" t="s">
        <v>163</v>
      </c>
      <c r="E550" t="s">
        <v>15</v>
      </c>
      <c r="G550" t="s">
        <v>31</v>
      </c>
      <c r="H550">
        <v>5</v>
      </c>
      <c r="I550">
        <v>249</v>
      </c>
      <c r="J550" s="5">
        <f t="shared" si="40"/>
        <v>1245</v>
      </c>
      <c r="K550">
        <v>280</v>
      </c>
      <c r="L550" s="9">
        <f t="shared" si="41"/>
        <v>1400</v>
      </c>
      <c r="M550" s="9">
        <f t="shared" si="42"/>
        <v>155</v>
      </c>
    </row>
    <row r="551" spans="1:15" hidden="1" x14ac:dyDescent="0.25">
      <c r="A551">
        <v>1</v>
      </c>
      <c r="B551" s="1">
        <v>44047</v>
      </c>
      <c r="C551" t="str">
        <f t="shared" si="39"/>
        <v>agosto</v>
      </c>
      <c r="D551" t="s">
        <v>167</v>
      </c>
      <c r="E551" t="s">
        <v>15</v>
      </c>
      <c r="G551" t="s">
        <v>346</v>
      </c>
      <c r="H551">
        <v>20</v>
      </c>
      <c r="I551">
        <v>210</v>
      </c>
      <c r="J551" s="5">
        <f t="shared" si="40"/>
        <v>4200</v>
      </c>
      <c r="K551">
        <v>250</v>
      </c>
      <c r="L551" s="9">
        <f t="shared" si="41"/>
        <v>5000</v>
      </c>
      <c r="M551" s="9">
        <f t="shared" si="42"/>
        <v>800</v>
      </c>
    </row>
    <row r="552" spans="1:15" hidden="1" x14ac:dyDescent="0.25">
      <c r="A552">
        <v>2</v>
      </c>
      <c r="B552" s="1">
        <v>44047</v>
      </c>
      <c r="C552" t="str">
        <f t="shared" si="39"/>
        <v>agosto</v>
      </c>
      <c r="D552" t="s">
        <v>167</v>
      </c>
      <c r="E552" t="s">
        <v>55</v>
      </c>
      <c r="G552" t="s">
        <v>422</v>
      </c>
      <c r="H552">
        <v>10</v>
      </c>
      <c r="I552">
        <v>207</v>
      </c>
      <c r="J552" s="5">
        <f t="shared" si="40"/>
        <v>2070</v>
      </c>
      <c r="K552">
        <v>270</v>
      </c>
      <c r="L552" s="9">
        <f t="shared" si="41"/>
        <v>2700</v>
      </c>
      <c r="M552" s="9">
        <f t="shared" si="42"/>
        <v>630</v>
      </c>
      <c r="O552" s="56"/>
    </row>
    <row r="553" spans="1:15" hidden="1" x14ac:dyDescent="0.25">
      <c r="A553">
        <v>3</v>
      </c>
      <c r="B553" s="1">
        <v>44047</v>
      </c>
      <c r="C553" t="str">
        <f t="shared" si="39"/>
        <v>agosto</v>
      </c>
      <c r="D553" t="s">
        <v>167</v>
      </c>
      <c r="E553" t="s">
        <v>55</v>
      </c>
      <c r="G553" t="s">
        <v>423</v>
      </c>
      <c r="H553">
        <v>20</v>
      </c>
      <c r="I553">
        <v>207</v>
      </c>
      <c r="J553" s="5">
        <f t="shared" si="40"/>
        <v>4140</v>
      </c>
      <c r="K553">
        <v>270</v>
      </c>
      <c r="L553" s="9">
        <f t="shared" si="41"/>
        <v>5400</v>
      </c>
      <c r="M553" s="9">
        <f t="shared" si="42"/>
        <v>1260</v>
      </c>
      <c r="O553" s="56"/>
    </row>
    <row r="554" spans="1:15" hidden="1" x14ac:dyDescent="0.25">
      <c r="A554">
        <v>4</v>
      </c>
      <c r="B554" s="1">
        <v>44047</v>
      </c>
      <c r="C554" t="str">
        <f t="shared" si="39"/>
        <v>agosto</v>
      </c>
      <c r="D554" t="s">
        <v>167</v>
      </c>
      <c r="E554" t="s">
        <v>15</v>
      </c>
      <c r="G554" t="s">
        <v>357</v>
      </c>
      <c r="H554">
        <v>30</v>
      </c>
      <c r="I554">
        <v>206</v>
      </c>
      <c r="J554" s="5">
        <f t="shared" si="40"/>
        <v>6180</v>
      </c>
      <c r="K554">
        <v>240</v>
      </c>
      <c r="L554" s="9">
        <f t="shared" si="41"/>
        <v>7200</v>
      </c>
      <c r="M554" s="9">
        <f t="shared" si="42"/>
        <v>1020</v>
      </c>
    </row>
    <row r="555" spans="1:15" hidden="1" x14ac:dyDescent="0.25">
      <c r="A555">
        <v>5</v>
      </c>
      <c r="B555" s="1">
        <v>44047</v>
      </c>
      <c r="C555" t="str">
        <f t="shared" si="39"/>
        <v>agosto</v>
      </c>
      <c r="D555" t="s">
        <v>167</v>
      </c>
      <c r="E555" t="s">
        <v>15</v>
      </c>
      <c r="G555" t="s">
        <v>424</v>
      </c>
      <c r="H555">
        <v>10</v>
      </c>
      <c r="I555">
        <v>210</v>
      </c>
      <c r="J555" s="5">
        <f t="shared" si="40"/>
        <v>2100</v>
      </c>
      <c r="K555">
        <v>250</v>
      </c>
      <c r="L555" s="9">
        <f t="shared" ref="L555:L586" si="43">+H555*K555</f>
        <v>2500</v>
      </c>
      <c r="M555" s="9">
        <f t="shared" ref="M555:M586" si="44">+L555-J555</f>
        <v>400</v>
      </c>
    </row>
    <row r="556" spans="1:15" hidden="1" x14ac:dyDescent="0.25">
      <c r="A556">
        <v>6</v>
      </c>
      <c r="B556" s="1">
        <v>44047</v>
      </c>
      <c r="C556" t="str">
        <f t="shared" si="39"/>
        <v>agosto</v>
      </c>
      <c r="D556" t="s">
        <v>167</v>
      </c>
      <c r="E556" t="s">
        <v>55</v>
      </c>
      <c r="G556" t="s">
        <v>416</v>
      </c>
      <c r="H556">
        <v>10</v>
      </c>
      <c r="I556">
        <v>207</v>
      </c>
      <c r="J556" s="5">
        <f t="shared" si="40"/>
        <v>2070</v>
      </c>
      <c r="K556">
        <v>270</v>
      </c>
      <c r="L556" s="9">
        <f t="shared" si="43"/>
        <v>2700</v>
      </c>
      <c r="M556" s="9">
        <f t="shared" si="44"/>
        <v>630</v>
      </c>
    </row>
    <row r="557" spans="1:15" hidden="1" x14ac:dyDescent="0.25">
      <c r="A557">
        <v>7</v>
      </c>
      <c r="B557" s="1">
        <v>44047</v>
      </c>
      <c r="C557" t="str">
        <f t="shared" si="39"/>
        <v>agosto</v>
      </c>
      <c r="D557" t="s">
        <v>167</v>
      </c>
      <c r="E557" t="s">
        <v>15</v>
      </c>
      <c r="G557" t="s">
        <v>385</v>
      </c>
      <c r="H557">
        <v>10</v>
      </c>
      <c r="I557">
        <v>210</v>
      </c>
      <c r="J557" s="5">
        <f t="shared" si="40"/>
        <v>2100</v>
      </c>
      <c r="K557">
        <v>240</v>
      </c>
      <c r="L557" s="9">
        <f t="shared" si="43"/>
        <v>2400</v>
      </c>
      <c r="M557" s="9">
        <f t="shared" si="44"/>
        <v>300</v>
      </c>
    </row>
    <row r="558" spans="1:15" hidden="1" x14ac:dyDescent="0.25">
      <c r="A558">
        <v>8</v>
      </c>
      <c r="B558" s="1">
        <v>44047</v>
      </c>
      <c r="C558" t="str">
        <f t="shared" si="39"/>
        <v>agosto</v>
      </c>
      <c r="D558" t="s">
        <v>167</v>
      </c>
      <c r="E558" t="s">
        <v>15</v>
      </c>
      <c r="G558" t="s">
        <v>425</v>
      </c>
      <c r="H558">
        <v>30</v>
      </c>
      <c r="I558">
        <v>206</v>
      </c>
      <c r="J558" s="5">
        <f t="shared" si="40"/>
        <v>6180</v>
      </c>
      <c r="K558">
        <v>240</v>
      </c>
      <c r="L558" s="9">
        <f t="shared" si="43"/>
        <v>7200</v>
      </c>
      <c r="M558" s="9">
        <f t="shared" si="44"/>
        <v>1020</v>
      </c>
    </row>
    <row r="559" spans="1:15" hidden="1" x14ac:dyDescent="0.25">
      <c r="A559">
        <v>9</v>
      </c>
      <c r="B559" s="1">
        <v>44047</v>
      </c>
      <c r="C559" t="str">
        <f t="shared" si="39"/>
        <v>agosto</v>
      </c>
      <c r="D559" t="s">
        <v>167</v>
      </c>
      <c r="E559" t="s">
        <v>15</v>
      </c>
      <c r="G559" t="s">
        <v>426</v>
      </c>
      <c r="H559">
        <v>22.163399999999999</v>
      </c>
      <c r="I559">
        <v>290</v>
      </c>
      <c r="J559" s="5">
        <f t="shared" si="40"/>
        <v>6427.3859999999995</v>
      </c>
      <c r="K559">
        <v>320</v>
      </c>
      <c r="L559" s="9">
        <f t="shared" si="43"/>
        <v>7092.2879999999996</v>
      </c>
      <c r="M559" s="9">
        <f t="shared" si="44"/>
        <v>664.90200000000004</v>
      </c>
    </row>
    <row r="560" spans="1:15" hidden="1" x14ac:dyDescent="0.25">
      <c r="A560">
        <v>10</v>
      </c>
      <c r="B560" s="1">
        <v>44047</v>
      </c>
      <c r="C560" t="str">
        <f t="shared" si="39"/>
        <v>agosto</v>
      </c>
      <c r="D560" t="s">
        <v>167</v>
      </c>
      <c r="E560" t="s">
        <v>15</v>
      </c>
      <c r="G560" t="s">
        <v>104</v>
      </c>
      <c r="H560">
        <v>1.333</v>
      </c>
      <c r="I560">
        <v>268</v>
      </c>
      <c r="J560" s="5">
        <f t="shared" si="40"/>
        <v>357.24399999999997</v>
      </c>
      <c r="K560">
        <v>300</v>
      </c>
      <c r="L560" s="9">
        <f t="shared" si="43"/>
        <v>399.9</v>
      </c>
      <c r="M560" s="9">
        <f t="shared" si="44"/>
        <v>42.656000000000006</v>
      </c>
    </row>
    <row r="561" spans="1:13" x14ac:dyDescent="0.25">
      <c r="A561">
        <v>11</v>
      </c>
      <c r="B561" s="1">
        <v>44051</v>
      </c>
      <c r="C561" t="str">
        <f t="shared" si="39"/>
        <v>agosto</v>
      </c>
      <c r="D561" t="s">
        <v>163</v>
      </c>
      <c r="E561" t="s">
        <v>15</v>
      </c>
      <c r="G561" t="s">
        <v>28</v>
      </c>
      <c r="H561">
        <v>50</v>
      </c>
      <c r="I561">
        <v>217</v>
      </c>
      <c r="J561" s="5">
        <f t="shared" si="40"/>
        <v>10850</v>
      </c>
      <c r="K561">
        <v>240</v>
      </c>
      <c r="L561" s="9">
        <f t="shared" si="43"/>
        <v>12000</v>
      </c>
      <c r="M561" s="9">
        <f t="shared" si="44"/>
        <v>1150</v>
      </c>
    </row>
    <row r="562" spans="1:13" x14ac:dyDescent="0.25">
      <c r="A562">
        <v>12</v>
      </c>
      <c r="B562" s="1">
        <v>44051</v>
      </c>
      <c r="C562" t="str">
        <f t="shared" si="39"/>
        <v>agosto</v>
      </c>
      <c r="D562" t="s">
        <v>163</v>
      </c>
      <c r="E562" t="s">
        <v>15</v>
      </c>
      <c r="G562" t="s">
        <v>29</v>
      </c>
      <c r="H562">
        <v>50</v>
      </c>
      <c r="I562">
        <v>211</v>
      </c>
      <c r="J562" s="5">
        <f t="shared" si="40"/>
        <v>10550</v>
      </c>
      <c r="K562">
        <v>240</v>
      </c>
      <c r="L562" s="9">
        <f t="shared" si="43"/>
        <v>12000</v>
      </c>
      <c r="M562" s="9">
        <f t="shared" si="44"/>
        <v>1450</v>
      </c>
    </row>
    <row r="563" spans="1:13" x14ac:dyDescent="0.25">
      <c r="A563">
        <v>13</v>
      </c>
      <c r="B563" s="1">
        <v>44051</v>
      </c>
      <c r="C563" t="str">
        <f t="shared" si="39"/>
        <v>agosto</v>
      </c>
      <c r="D563" t="s">
        <v>163</v>
      </c>
      <c r="E563" t="s">
        <v>15</v>
      </c>
      <c r="G563" t="s">
        <v>33</v>
      </c>
      <c r="H563">
        <v>50</v>
      </c>
      <c r="I563">
        <v>220</v>
      </c>
      <c r="J563" s="5">
        <f t="shared" si="40"/>
        <v>11000</v>
      </c>
      <c r="K563">
        <v>250</v>
      </c>
      <c r="L563" s="9">
        <f t="shared" si="43"/>
        <v>12500</v>
      </c>
      <c r="M563" s="9">
        <f t="shared" si="44"/>
        <v>1500</v>
      </c>
    </row>
    <row r="564" spans="1:13" x14ac:dyDescent="0.25">
      <c r="A564">
        <v>14</v>
      </c>
      <c r="B564" s="1">
        <v>44051</v>
      </c>
      <c r="C564" t="str">
        <f t="shared" si="39"/>
        <v>agosto</v>
      </c>
      <c r="D564" t="s">
        <v>163</v>
      </c>
      <c r="E564" t="s">
        <v>15</v>
      </c>
      <c r="G564" t="s">
        <v>438</v>
      </c>
      <c r="H564">
        <v>30</v>
      </c>
      <c r="I564">
        <v>220</v>
      </c>
      <c r="J564" s="5">
        <f t="shared" si="40"/>
        <v>6600</v>
      </c>
      <c r="K564">
        <v>250</v>
      </c>
      <c r="L564" s="9">
        <f t="shared" si="43"/>
        <v>7500</v>
      </c>
      <c r="M564" s="9">
        <f t="shared" si="44"/>
        <v>900</v>
      </c>
    </row>
    <row r="565" spans="1:13" x14ac:dyDescent="0.25">
      <c r="A565">
        <v>15</v>
      </c>
      <c r="B565" s="1">
        <v>44051</v>
      </c>
      <c r="C565" t="str">
        <f t="shared" si="39"/>
        <v>agosto</v>
      </c>
      <c r="D565" t="s">
        <v>163</v>
      </c>
      <c r="E565" t="s">
        <v>15</v>
      </c>
      <c r="G565" t="s">
        <v>439</v>
      </c>
      <c r="H565">
        <v>20</v>
      </c>
      <c r="I565">
        <v>220</v>
      </c>
      <c r="J565" s="5">
        <f t="shared" si="40"/>
        <v>4400</v>
      </c>
      <c r="K565">
        <v>250</v>
      </c>
      <c r="L565" s="9">
        <f t="shared" si="43"/>
        <v>5000</v>
      </c>
      <c r="M565" s="9">
        <f t="shared" si="44"/>
        <v>600</v>
      </c>
    </row>
    <row r="566" spans="1:13" x14ac:dyDescent="0.25">
      <c r="A566">
        <v>16</v>
      </c>
      <c r="B566" s="1">
        <v>44051</v>
      </c>
      <c r="C566" t="str">
        <f t="shared" si="39"/>
        <v>agosto</v>
      </c>
      <c r="D566" t="s">
        <v>163</v>
      </c>
      <c r="E566" t="s">
        <v>15</v>
      </c>
      <c r="G566" t="s">
        <v>440</v>
      </c>
      <c r="H566">
        <v>10</v>
      </c>
      <c r="I566">
        <v>234</v>
      </c>
      <c r="J566" s="5">
        <f t="shared" si="40"/>
        <v>2340</v>
      </c>
      <c r="K566">
        <v>280</v>
      </c>
      <c r="L566" s="9">
        <f t="shared" si="43"/>
        <v>2800</v>
      </c>
      <c r="M566" s="9">
        <f t="shared" si="44"/>
        <v>460</v>
      </c>
    </row>
    <row r="567" spans="1:13" x14ac:dyDescent="0.25">
      <c r="A567">
        <v>17</v>
      </c>
      <c r="B567" s="1">
        <v>44051</v>
      </c>
      <c r="C567" t="str">
        <f t="shared" si="39"/>
        <v>agosto</v>
      </c>
      <c r="D567" t="s">
        <v>163</v>
      </c>
      <c r="E567" t="s">
        <v>15</v>
      </c>
      <c r="G567" t="s">
        <v>441</v>
      </c>
      <c r="H567">
        <v>10</v>
      </c>
      <c r="I567">
        <v>234</v>
      </c>
      <c r="J567" s="5">
        <f t="shared" si="40"/>
        <v>2340</v>
      </c>
      <c r="K567">
        <v>280</v>
      </c>
      <c r="L567" s="9">
        <f t="shared" si="43"/>
        <v>2800</v>
      </c>
      <c r="M567" s="9">
        <f t="shared" si="44"/>
        <v>460</v>
      </c>
    </row>
    <row r="568" spans="1:13" hidden="1" x14ac:dyDescent="0.25">
      <c r="A568">
        <v>18</v>
      </c>
      <c r="B568" s="1">
        <v>44051</v>
      </c>
      <c r="C568" t="str">
        <f t="shared" si="39"/>
        <v>agosto</v>
      </c>
      <c r="D568" t="s">
        <v>163</v>
      </c>
      <c r="E568" t="s">
        <v>75</v>
      </c>
      <c r="G568" t="s">
        <v>442</v>
      </c>
      <c r="H568">
        <v>40</v>
      </c>
      <c r="I568">
        <v>27</v>
      </c>
      <c r="J568" s="5">
        <f t="shared" si="40"/>
        <v>1080</v>
      </c>
      <c r="K568">
        <v>45</v>
      </c>
      <c r="L568" s="9">
        <f t="shared" si="43"/>
        <v>1800</v>
      </c>
      <c r="M568" s="9">
        <f t="shared" si="44"/>
        <v>720</v>
      </c>
    </row>
    <row r="569" spans="1:13" hidden="1" x14ac:dyDescent="0.25">
      <c r="A569">
        <v>19</v>
      </c>
      <c r="B569" s="1">
        <v>44051</v>
      </c>
      <c r="C569" t="str">
        <f t="shared" si="39"/>
        <v>agosto</v>
      </c>
      <c r="D569" t="s">
        <v>163</v>
      </c>
      <c r="E569" t="s">
        <v>55</v>
      </c>
      <c r="G569" t="s">
        <v>22</v>
      </c>
      <c r="H569">
        <v>14.1</v>
      </c>
      <c r="I569">
        <v>279</v>
      </c>
      <c r="J569" s="5">
        <f t="shared" si="40"/>
        <v>3933.9</v>
      </c>
      <c r="K569">
        <v>300</v>
      </c>
      <c r="L569" s="9">
        <f t="shared" si="43"/>
        <v>4230</v>
      </c>
      <c r="M569" s="9">
        <f t="shared" si="44"/>
        <v>296.09999999999991</v>
      </c>
    </row>
    <row r="570" spans="1:13" hidden="1" x14ac:dyDescent="0.25">
      <c r="A570">
        <v>20</v>
      </c>
      <c r="B570" s="1">
        <v>44055</v>
      </c>
      <c r="C570" t="str">
        <f t="shared" si="39"/>
        <v>agosto</v>
      </c>
      <c r="D570" t="s">
        <v>167</v>
      </c>
      <c r="E570" t="s">
        <v>78</v>
      </c>
      <c r="G570" t="s">
        <v>428</v>
      </c>
      <c r="H570">
        <v>1</v>
      </c>
      <c r="I570">
        <v>1580</v>
      </c>
      <c r="J570" s="5">
        <f t="shared" si="40"/>
        <v>1580</v>
      </c>
      <c r="K570">
        <v>1900</v>
      </c>
      <c r="L570" s="9">
        <f t="shared" si="43"/>
        <v>1900</v>
      </c>
      <c r="M570" s="9">
        <f t="shared" si="44"/>
        <v>320</v>
      </c>
    </row>
    <row r="571" spans="1:13" hidden="1" x14ac:dyDescent="0.25">
      <c r="A571">
        <v>21</v>
      </c>
      <c r="B571" s="1">
        <v>44055</v>
      </c>
      <c r="C571" t="str">
        <f t="shared" si="39"/>
        <v>agosto</v>
      </c>
      <c r="D571" t="s">
        <v>167</v>
      </c>
      <c r="E571" t="s">
        <v>15</v>
      </c>
      <c r="G571" t="s">
        <v>357</v>
      </c>
      <c r="H571">
        <v>50</v>
      </c>
      <c r="I571">
        <v>206</v>
      </c>
      <c r="J571" s="5">
        <f t="shared" si="40"/>
        <v>10300</v>
      </c>
      <c r="K571">
        <v>240</v>
      </c>
      <c r="L571" s="9">
        <f t="shared" si="43"/>
        <v>12000</v>
      </c>
      <c r="M571" s="9">
        <f t="shared" si="44"/>
        <v>1700</v>
      </c>
    </row>
    <row r="572" spans="1:13" hidden="1" x14ac:dyDescent="0.25">
      <c r="A572">
        <v>22</v>
      </c>
      <c r="B572" s="1">
        <v>44055</v>
      </c>
      <c r="C572" t="str">
        <f t="shared" si="39"/>
        <v>agosto</v>
      </c>
      <c r="D572" t="s">
        <v>167</v>
      </c>
      <c r="E572" t="s">
        <v>15</v>
      </c>
      <c r="G572" t="s">
        <v>131</v>
      </c>
      <c r="H572">
        <v>12</v>
      </c>
      <c r="I572">
        <v>268</v>
      </c>
      <c r="J572" s="5">
        <f t="shared" si="40"/>
        <v>3216</v>
      </c>
      <c r="K572">
        <v>300</v>
      </c>
      <c r="L572" s="9">
        <f t="shared" si="43"/>
        <v>3600</v>
      </c>
      <c r="M572" s="9">
        <f t="shared" si="44"/>
        <v>384</v>
      </c>
    </row>
    <row r="573" spans="1:13" hidden="1" x14ac:dyDescent="0.25">
      <c r="A573">
        <v>23</v>
      </c>
      <c r="B573" s="1">
        <v>44055</v>
      </c>
      <c r="C573" t="str">
        <f t="shared" si="39"/>
        <v>agosto</v>
      </c>
      <c r="D573" t="s">
        <v>167</v>
      </c>
      <c r="E573" t="s">
        <v>15</v>
      </c>
      <c r="G573" t="s">
        <v>312</v>
      </c>
      <c r="H573">
        <v>16</v>
      </c>
      <c r="I573">
        <v>268</v>
      </c>
      <c r="J573" s="5">
        <f t="shared" si="40"/>
        <v>4288</v>
      </c>
      <c r="K573">
        <v>300</v>
      </c>
      <c r="L573" s="9">
        <f t="shared" si="43"/>
        <v>4800</v>
      </c>
      <c r="M573" s="9">
        <f t="shared" si="44"/>
        <v>512</v>
      </c>
    </row>
    <row r="574" spans="1:13" hidden="1" x14ac:dyDescent="0.25">
      <c r="A574">
        <v>24</v>
      </c>
      <c r="B574" s="1">
        <v>44055</v>
      </c>
      <c r="C574" t="str">
        <f t="shared" si="39"/>
        <v>agosto</v>
      </c>
      <c r="D574" t="s">
        <v>167</v>
      </c>
      <c r="E574" t="s">
        <v>70</v>
      </c>
      <c r="G574" t="s">
        <v>420</v>
      </c>
      <c r="H574">
        <v>1</v>
      </c>
      <c r="I574">
        <v>2800</v>
      </c>
      <c r="J574" s="5">
        <f t="shared" si="40"/>
        <v>2800</v>
      </c>
      <c r="K574">
        <v>3200</v>
      </c>
      <c r="L574" s="9">
        <f t="shared" si="43"/>
        <v>3200</v>
      </c>
      <c r="M574" s="9">
        <f t="shared" si="44"/>
        <v>400</v>
      </c>
    </row>
    <row r="575" spans="1:13" hidden="1" x14ac:dyDescent="0.25">
      <c r="A575">
        <v>25</v>
      </c>
      <c r="B575" s="1">
        <v>44055</v>
      </c>
      <c r="C575" t="str">
        <f t="shared" si="39"/>
        <v>agosto</v>
      </c>
      <c r="D575" t="s">
        <v>167</v>
      </c>
      <c r="E575" t="s">
        <v>15</v>
      </c>
      <c r="G575" t="s">
        <v>427</v>
      </c>
      <c r="H575">
        <v>10</v>
      </c>
      <c r="I575">
        <v>207</v>
      </c>
      <c r="J575" s="5">
        <f t="shared" si="40"/>
        <v>2070</v>
      </c>
      <c r="K575">
        <v>240</v>
      </c>
      <c r="L575" s="9">
        <f t="shared" si="43"/>
        <v>2400</v>
      </c>
      <c r="M575" s="9">
        <f t="shared" si="44"/>
        <v>330</v>
      </c>
    </row>
    <row r="576" spans="1:13" hidden="1" x14ac:dyDescent="0.25">
      <c r="A576">
        <v>26</v>
      </c>
      <c r="B576" s="1">
        <v>44057</v>
      </c>
      <c r="C576" t="str">
        <f t="shared" si="39"/>
        <v>agosto</v>
      </c>
      <c r="D576" t="s">
        <v>167</v>
      </c>
      <c r="E576" t="s">
        <v>70</v>
      </c>
      <c r="G576" t="s">
        <v>227</v>
      </c>
      <c r="H576">
        <v>10</v>
      </c>
      <c r="I576">
        <v>1440</v>
      </c>
      <c r="J576" s="5">
        <f t="shared" si="40"/>
        <v>14400</v>
      </c>
      <c r="K576">
        <v>1650</v>
      </c>
      <c r="L576" s="9">
        <f t="shared" si="43"/>
        <v>16500</v>
      </c>
      <c r="M576" s="9">
        <f t="shared" si="44"/>
        <v>2100</v>
      </c>
    </row>
    <row r="577" spans="1:13" hidden="1" x14ac:dyDescent="0.25">
      <c r="A577">
        <v>27</v>
      </c>
      <c r="B577" s="1">
        <v>44057</v>
      </c>
      <c r="C577" t="str">
        <f t="shared" si="39"/>
        <v>agosto</v>
      </c>
      <c r="D577" t="s">
        <v>167</v>
      </c>
      <c r="E577" t="s">
        <v>70</v>
      </c>
      <c r="G577" t="s">
        <v>420</v>
      </c>
      <c r="H577">
        <v>1</v>
      </c>
      <c r="I577">
        <v>2800</v>
      </c>
      <c r="J577" s="5">
        <f t="shared" si="40"/>
        <v>2800</v>
      </c>
      <c r="K577">
        <v>3200</v>
      </c>
      <c r="L577" s="9">
        <f t="shared" si="43"/>
        <v>3200</v>
      </c>
      <c r="M577" s="9">
        <f t="shared" si="44"/>
        <v>400</v>
      </c>
    </row>
    <row r="578" spans="1:13" hidden="1" x14ac:dyDescent="0.25">
      <c r="A578">
        <v>28</v>
      </c>
      <c r="B578" s="1">
        <v>44057</v>
      </c>
      <c r="C578" t="str">
        <f t="shared" ref="C578:C641" si="45">+TEXT(B578,"mmmm")</f>
        <v>agosto</v>
      </c>
      <c r="D578" t="s">
        <v>167</v>
      </c>
      <c r="E578" t="s">
        <v>15</v>
      </c>
      <c r="G578" t="s">
        <v>421</v>
      </c>
      <c r="H578">
        <v>22</v>
      </c>
      <c r="I578">
        <v>253</v>
      </c>
      <c r="J578" s="5">
        <f t="shared" ref="J578:J641" si="46">+H578*I578</f>
        <v>5566</v>
      </c>
      <c r="K578">
        <v>280</v>
      </c>
      <c r="L578" s="9">
        <f t="shared" si="43"/>
        <v>6160</v>
      </c>
      <c r="M578" s="9">
        <f t="shared" si="44"/>
        <v>594</v>
      </c>
    </row>
    <row r="579" spans="1:13" hidden="1" x14ac:dyDescent="0.25">
      <c r="A579">
        <v>29</v>
      </c>
      <c r="B579" s="1">
        <v>44057</v>
      </c>
      <c r="C579" t="str">
        <f t="shared" si="45"/>
        <v>agosto</v>
      </c>
      <c r="D579" t="s">
        <v>13</v>
      </c>
      <c r="E579" t="s">
        <v>15</v>
      </c>
      <c r="G579" t="s">
        <v>427</v>
      </c>
      <c r="H579">
        <v>42</v>
      </c>
      <c r="I579">
        <v>230</v>
      </c>
      <c r="J579" s="5">
        <f t="shared" si="46"/>
        <v>9660</v>
      </c>
      <c r="K579">
        <v>240</v>
      </c>
      <c r="L579" s="9">
        <f t="shared" si="43"/>
        <v>10080</v>
      </c>
      <c r="M579" s="9">
        <f t="shared" si="44"/>
        <v>420</v>
      </c>
    </row>
    <row r="580" spans="1:13" x14ac:dyDescent="0.25">
      <c r="A580">
        <v>30</v>
      </c>
      <c r="B580" s="1">
        <v>44058</v>
      </c>
      <c r="C580" t="str">
        <f t="shared" si="45"/>
        <v>agosto</v>
      </c>
      <c r="D580" t="s">
        <v>163</v>
      </c>
      <c r="E580" t="s">
        <v>15</v>
      </c>
      <c r="G580" t="s">
        <v>396</v>
      </c>
      <c r="H580">
        <v>8</v>
      </c>
      <c r="I580">
        <v>248</v>
      </c>
      <c r="J580" s="5">
        <f t="shared" si="46"/>
        <v>1984</v>
      </c>
      <c r="L580" s="9">
        <f t="shared" si="43"/>
        <v>0</v>
      </c>
      <c r="M580" s="9">
        <f t="shared" si="44"/>
        <v>-1984</v>
      </c>
    </row>
    <row r="581" spans="1:13" x14ac:dyDescent="0.25">
      <c r="A581">
        <v>31</v>
      </c>
      <c r="B581" s="1">
        <v>44058</v>
      </c>
      <c r="C581" t="str">
        <f t="shared" si="45"/>
        <v>agosto</v>
      </c>
      <c r="D581" t="s">
        <v>163</v>
      </c>
      <c r="E581" t="s">
        <v>15</v>
      </c>
      <c r="G581" t="s">
        <v>20</v>
      </c>
      <c r="H581">
        <v>50</v>
      </c>
      <c r="I581">
        <v>232</v>
      </c>
      <c r="J581" s="5">
        <f t="shared" si="46"/>
        <v>11600</v>
      </c>
      <c r="K581">
        <v>270</v>
      </c>
      <c r="L581" s="9">
        <f t="shared" si="43"/>
        <v>13500</v>
      </c>
      <c r="M581" s="9">
        <f t="shared" si="44"/>
        <v>1900</v>
      </c>
    </row>
    <row r="582" spans="1:13" x14ac:dyDescent="0.25">
      <c r="A582">
        <v>32</v>
      </c>
      <c r="B582" s="1">
        <v>44058</v>
      </c>
      <c r="C582" t="str">
        <f t="shared" si="45"/>
        <v>agosto</v>
      </c>
      <c r="D582" t="s">
        <v>163</v>
      </c>
      <c r="E582" t="s">
        <v>15</v>
      </c>
      <c r="G582" t="s">
        <v>296</v>
      </c>
      <c r="H582">
        <v>3</v>
      </c>
      <c r="I582">
        <v>233</v>
      </c>
      <c r="J582" s="5">
        <f t="shared" si="46"/>
        <v>699</v>
      </c>
      <c r="K582">
        <v>280</v>
      </c>
      <c r="L582" s="9">
        <f t="shared" si="43"/>
        <v>840</v>
      </c>
      <c r="M582" s="9">
        <f t="shared" si="44"/>
        <v>141</v>
      </c>
    </row>
    <row r="583" spans="1:13" hidden="1" x14ac:dyDescent="0.25">
      <c r="A583">
        <v>33</v>
      </c>
      <c r="B583" s="1">
        <v>44058</v>
      </c>
      <c r="C583" t="str">
        <f t="shared" si="45"/>
        <v>agosto</v>
      </c>
      <c r="D583" t="s">
        <v>163</v>
      </c>
      <c r="E583" t="s">
        <v>56</v>
      </c>
      <c r="G583" t="s">
        <v>171</v>
      </c>
      <c r="H583">
        <v>30</v>
      </c>
      <c r="I583">
        <v>123</v>
      </c>
      <c r="J583" s="5">
        <f t="shared" si="46"/>
        <v>3690</v>
      </c>
      <c r="K583">
        <v>170</v>
      </c>
      <c r="L583" s="9">
        <f t="shared" si="43"/>
        <v>5100</v>
      </c>
      <c r="M583" s="9">
        <f t="shared" si="44"/>
        <v>1410</v>
      </c>
    </row>
    <row r="584" spans="1:13" hidden="1" x14ac:dyDescent="0.25">
      <c r="A584">
        <v>34</v>
      </c>
      <c r="B584" s="1">
        <v>44058</v>
      </c>
      <c r="C584" t="str">
        <f t="shared" si="45"/>
        <v>agosto</v>
      </c>
      <c r="D584" t="s">
        <v>163</v>
      </c>
      <c r="E584" t="s">
        <v>56</v>
      </c>
      <c r="G584" t="s">
        <v>176</v>
      </c>
      <c r="H584">
        <v>15</v>
      </c>
      <c r="I584">
        <v>189</v>
      </c>
      <c r="J584" s="5">
        <f t="shared" si="46"/>
        <v>2835</v>
      </c>
      <c r="K584">
        <v>260</v>
      </c>
      <c r="L584" s="9">
        <f t="shared" si="43"/>
        <v>3900</v>
      </c>
      <c r="M584" s="9">
        <f t="shared" si="44"/>
        <v>1065</v>
      </c>
    </row>
    <row r="585" spans="1:13" hidden="1" x14ac:dyDescent="0.25">
      <c r="A585">
        <v>35</v>
      </c>
      <c r="B585" s="1">
        <v>44058</v>
      </c>
      <c r="C585" t="str">
        <f t="shared" si="45"/>
        <v>agosto</v>
      </c>
      <c r="D585" t="s">
        <v>99</v>
      </c>
      <c r="E585" t="s">
        <v>26</v>
      </c>
      <c r="G585" t="s">
        <v>101</v>
      </c>
      <c r="H585">
        <v>25.92</v>
      </c>
      <c r="I585">
        <v>352</v>
      </c>
      <c r="J585" s="5">
        <f t="shared" si="46"/>
        <v>9123.84</v>
      </c>
      <c r="K585">
        <v>425</v>
      </c>
      <c r="L585" s="9">
        <f t="shared" si="43"/>
        <v>11016</v>
      </c>
      <c r="M585" s="9">
        <f t="shared" si="44"/>
        <v>1892.1599999999999</v>
      </c>
    </row>
    <row r="586" spans="1:13" hidden="1" x14ac:dyDescent="0.25">
      <c r="A586">
        <v>36</v>
      </c>
      <c r="B586" s="1">
        <v>44061</v>
      </c>
      <c r="C586" t="str">
        <f t="shared" si="45"/>
        <v>agosto</v>
      </c>
      <c r="D586" t="s">
        <v>13</v>
      </c>
      <c r="E586" t="s">
        <v>55</v>
      </c>
      <c r="G586" t="s">
        <v>112</v>
      </c>
      <c r="H586">
        <v>2</v>
      </c>
      <c r="I586">
        <v>285</v>
      </c>
      <c r="J586" s="5">
        <f t="shared" si="46"/>
        <v>570</v>
      </c>
      <c r="K586">
        <v>300</v>
      </c>
      <c r="L586" s="9">
        <f t="shared" si="43"/>
        <v>600</v>
      </c>
      <c r="M586" s="9">
        <f t="shared" si="44"/>
        <v>30</v>
      </c>
    </row>
    <row r="587" spans="1:13" hidden="1" x14ac:dyDescent="0.25">
      <c r="A587">
        <v>37</v>
      </c>
      <c r="B587" s="1">
        <v>44061</v>
      </c>
      <c r="C587" t="str">
        <f t="shared" si="45"/>
        <v>agosto</v>
      </c>
      <c r="D587" t="s">
        <v>13</v>
      </c>
      <c r="E587" t="s">
        <v>55</v>
      </c>
      <c r="G587" t="s">
        <v>149</v>
      </c>
      <c r="H587">
        <v>3</v>
      </c>
      <c r="I587">
        <v>285</v>
      </c>
      <c r="J587" s="5">
        <f t="shared" si="46"/>
        <v>855</v>
      </c>
      <c r="K587">
        <v>300</v>
      </c>
      <c r="L587" s="9">
        <f t="shared" ref="L587:L615" si="47">+H587*K587</f>
        <v>900</v>
      </c>
      <c r="M587" s="9">
        <f t="shared" ref="M587:M615" si="48">+L587-J587</f>
        <v>45</v>
      </c>
    </row>
    <row r="588" spans="1:13" hidden="1" x14ac:dyDescent="0.25">
      <c r="A588">
        <v>38</v>
      </c>
      <c r="B588" s="1">
        <v>44062</v>
      </c>
      <c r="C588" t="str">
        <f t="shared" si="45"/>
        <v>agosto</v>
      </c>
      <c r="D588" t="s">
        <v>167</v>
      </c>
      <c r="E588" t="s">
        <v>64</v>
      </c>
      <c r="G588" t="s">
        <v>415</v>
      </c>
      <c r="H588">
        <v>10.0489</v>
      </c>
      <c r="I588">
        <v>312</v>
      </c>
      <c r="J588" s="5">
        <f t="shared" si="46"/>
        <v>3135.2568000000001</v>
      </c>
      <c r="K588">
        <v>360</v>
      </c>
      <c r="L588" s="9">
        <f t="shared" si="47"/>
        <v>3617.6039999999998</v>
      </c>
      <c r="M588" s="9">
        <f t="shared" si="48"/>
        <v>482.3471999999997</v>
      </c>
    </row>
    <row r="589" spans="1:13" hidden="1" x14ac:dyDescent="0.25">
      <c r="A589">
        <v>39</v>
      </c>
      <c r="B589" s="1">
        <v>44062</v>
      </c>
      <c r="C589" t="str">
        <f t="shared" si="45"/>
        <v>agosto</v>
      </c>
      <c r="D589" t="s">
        <v>167</v>
      </c>
      <c r="E589" t="s">
        <v>55</v>
      </c>
      <c r="G589" t="s">
        <v>22</v>
      </c>
      <c r="H589">
        <v>14.16</v>
      </c>
      <c r="I589">
        <v>268</v>
      </c>
      <c r="J589" s="5">
        <f t="shared" si="46"/>
        <v>3794.88</v>
      </c>
      <c r="K589">
        <v>300</v>
      </c>
      <c r="L589" s="9">
        <f t="shared" si="47"/>
        <v>4248</v>
      </c>
      <c r="M589" s="9">
        <f t="shared" si="48"/>
        <v>453.11999999999989</v>
      </c>
    </row>
    <row r="590" spans="1:13" hidden="1" x14ac:dyDescent="0.25">
      <c r="A590">
        <v>40</v>
      </c>
      <c r="B590" s="1">
        <v>44062</v>
      </c>
      <c r="C590" t="str">
        <f t="shared" si="45"/>
        <v>agosto</v>
      </c>
      <c r="D590" t="s">
        <v>167</v>
      </c>
      <c r="E590" t="s">
        <v>55</v>
      </c>
      <c r="G590" t="s">
        <v>416</v>
      </c>
      <c r="H590">
        <v>20</v>
      </c>
      <c r="I590">
        <v>207</v>
      </c>
      <c r="J590" s="5">
        <f t="shared" si="46"/>
        <v>4140</v>
      </c>
      <c r="K590">
        <v>270</v>
      </c>
      <c r="L590" s="9">
        <f t="shared" si="47"/>
        <v>5400</v>
      </c>
      <c r="M590" s="9">
        <f t="shared" si="48"/>
        <v>1260</v>
      </c>
    </row>
    <row r="591" spans="1:13" hidden="1" x14ac:dyDescent="0.25">
      <c r="A591">
        <v>41</v>
      </c>
      <c r="B591" s="1">
        <v>44062</v>
      </c>
      <c r="C591" t="str">
        <f t="shared" si="45"/>
        <v>agosto</v>
      </c>
      <c r="D591" t="s">
        <v>167</v>
      </c>
      <c r="E591" t="s">
        <v>15</v>
      </c>
      <c r="G591" t="s">
        <v>385</v>
      </c>
      <c r="H591">
        <v>20</v>
      </c>
      <c r="I591">
        <v>210</v>
      </c>
      <c r="J591" s="5">
        <f t="shared" si="46"/>
        <v>4200</v>
      </c>
      <c r="K591">
        <v>240</v>
      </c>
      <c r="L591" s="9">
        <f t="shared" si="47"/>
        <v>4800</v>
      </c>
      <c r="M591" s="9">
        <f t="shared" si="48"/>
        <v>600</v>
      </c>
    </row>
    <row r="592" spans="1:13" hidden="1" x14ac:dyDescent="0.25">
      <c r="A592">
        <v>42</v>
      </c>
      <c r="B592" s="1">
        <v>44062</v>
      </c>
      <c r="C592" t="str">
        <f t="shared" si="45"/>
        <v>agosto</v>
      </c>
      <c r="D592" t="s">
        <v>167</v>
      </c>
      <c r="E592" t="s">
        <v>15</v>
      </c>
      <c r="G592" t="s">
        <v>397</v>
      </c>
      <c r="H592">
        <v>10</v>
      </c>
      <c r="I592">
        <v>219</v>
      </c>
      <c r="J592" s="5">
        <f t="shared" si="46"/>
        <v>2190</v>
      </c>
      <c r="K592">
        <v>250</v>
      </c>
      <c r="L592" s="9">
        <f t="shared" si="47"/>
        <v>2500</v>
      </c>
      <c r="M592" s="9">
        <f t="shared" si="48"/>
        <v>310</v>
      </c>
    </row>
    <row r="593" spans="1:13" hidden="1" x14ac:dyDescent="0.25">
      <c r="A593">
        <v>43</v>
      </c>
      <c r="B593" s="1">
        <v>44062</v>
      </c>
      <c r="C593" t="str">
        <f t="shared" si="45"/>
        <v>agosto</v>
      </c>
      <c r="D593" t="s">
        <v>167</v>
      </c>
      <c r="E593" t="s">
        <v>55</v>
      </c>
      <c r="G593" t="s">
        <v>149</v>
      </c>
      <c r="H593">
        <v>10</v>
      </c>
      <c r="I593">
        <v>268</v>
      </c>
      <c r="J593" s="5">
        <f t="shared" si="46"/>
        <v>2680</v>
      </c>
      <c r="K593">
        <v>300</v>
      </c>
      <c r="L593" s="9">
        <f t="shared" si="47"/>
        <v>3000</v>
      </c>
      <c r="M593" s="9">
        <f t="shared" si="48"/>
        <v>320</v>
      </c>
    </row>
    <row r="594" spans="1:13" hidden="1" x14ac:dyDescent="0.25">
      <c r="A594">
        <v>44</v>
      </c>
      <c r="B594" s="1">
        <v>44062</v>
      </c>
      <c r="C594" t="str">
        <f t="shared" si="45"/>
        <v>agosto</v>
      </c>
      <c r="D594" t="s">
        <v>167</v>
      </c>
      <c r="E594" t="s">
        <v>55</v>
      </c>
      <c r="G594" t="s">
        <v>112</v>
      </c>
      <c r="H594">
        <v>4</v>
      </c>
      <c r="I594">
        <v>268</v>
      </c>
      <c r="J594" s="5">
        <f t="shared" si="46"/>
        <v>1072</v>
      </c>
      <c r="K594">
        <v>300</v>
      </c>
      <c r="L594" s="9">
        <f t="shared" si="47"/>
        <v>1200</v>
      </c>
      <c r="M594" s="9">
        <f t="shared" si="48"/>
        <v>128</v>
      </c>
    </row>
    <row r="595" spans="1:13" hidden="1" x14ac:dyDescent="0.25">
      <c r="A595">
        <v>45</v>
      </c>
      <c r="B595" s="1">
        <v>44062</v>
      </c>
      <c r="C595" t="str">
        <f t="shared" si="45"/>
        <v>agosto</v>
      </c>
      <c r="D595" t="s">
        <v>167</v>
      </c>
      <c r="E595" t="s">
        <v>55</v>
      </c>
      <c r="G595" t="s">
        <v>417</v>
      </c>
      <c r="H595">
        <v>10</v>
      </c>
      <c r="I595">
        <v>268</v>
      </c>
      <c r="J595" s="5">
        <f t="shared" si="46"/>
        <v>2680</v>
      </c>
      <c r="K595">
        <v>300</v>
      </c>
      <c r="L595" s="9">
        <f t="shared" si="47"/>
        <v>3000</v>
      </c>
      <c r="M595" s="9">
        <f t="shared" si="48"/>
        <v>320</v>
      </c>
    </row>
    <row r="596" spans="1:13" hidden="1" x14ac:dyDescent="0.25">
      <c r="A596">
        <v>46</v>
      </c>
      <c r="B596" s="1">
        <v>44062</v>
      </c>
      <c r="C596" t="str">
        <f t="shared" si="45"/>
        <v>agosto</v>
      </c>
      <c r="D596" t="s">
        <v>167</v>
      </c>
      <c r="E596" t="s">
        <v>85</v>
      </c>
      <c r="G596" t="s">
        <v>216</v>
      </c>
      <c r="H596">
        <v>3</v>
      </c>
      <c r="I596">
        <v>480</v>
      </c>
      <c r="J596" s="5">
        <f t="shared" si="46"/>
        <v>1440</v>
      </c>
      <c r="K596">
        <v>900</v>
      </c>
      <c r="L596" s="9">
        <f t="shared" si="47"/>
        <v>2700</v>
      </c>
      <c r="M596" s="9">
        <f t="shared" si="48"/>
        <v>1260</v>
      </c>
    </row>
    <row r="597" spans="1:13" hidden="1" x14ac:dyDescent="0.25">
      <c r="A597">
        <v>47</v>
      </c>
      <c r="B597" s="1">
        <v>44062</v>
      </c>
      <c r="C597" t="str">
        <f t="shared" si="45"/>
        <v>agosto</v>
      </c>
      <c r="D597" t="s">
        <v>167</v>
      </c>
      <c r="E597" t="s">
        <v>55</v>
      </c>
      <c r="G597" t="s">
        <v>418</v>
      </c>
      <c r="H597">
        <v>5</v>
      </c>
      <c r="I597">
        <v>268</v>
      </c>
      <c r="J597" s="5">
        <f t="shared" si="46"/>
        <v>1340</v>
      </c>
      <c r="K597">
        <v>300</v>
      </c>
      <c r="L597" s="9">
        <f t="shared" si="47"/>
        <v>1500</v>
      </c>
      <c r="M597" s="9">
        <f t="shared" si="48"/>
        <v>160</v>
      </c>
    </row>
    <row r="598" spans="1:13" hidden="1" x14ac:dyDescent="0.25">
      <c r="A598">
        <v>48</v>
      </c>
      <c r="B598" s="1">
        <v>44062</v>
      </c>
      <c r="C598" t="str">
        <f t="shared" si="45"/>
        <v>agosto</v>
      </c>
      <c r="D598" t="s">
        <v>167</v>
      </c>
      <c r="E598" t="s">
        <v>55</v>
      </c>
      <c r="G598" t="s">
        <v>419</v>
      </c>
      <c r="H598">
        <v>5</v>
      </c>
      <c r="I598">
        <v>268</v>
      </c>
      <c r="J598" s="5">
        <f t="shared" si="46"/>
        <v>1340</v>
      </c>
      <c r="K598">
        <v>300</v>
      </c>
      <c r="L598" s="9">
        <f t="shared" si="47"/>
        <v>1500</v>
      </c>
      <c r="M598" s="9">
        <f t="shared" si="48"/>
        <v>160</v>
      </c>
    </row>
    <row r="599" spans="1:13" hidden="1" x14ac:dyDescent="0.25">
      <c r="A599">
        <v>49</v>
      </c>
      <c r="B599" s="1">
        <v>44062</v>
      </c>
      <c r="C599" t="str">
        <f t="shared" si="45"/>
        <v>agosto</v>
      </c>
      <c r="D599" t="s">
        <v>167</v>
      </c>
      <c r="E599" t="s">
        <v>78</v>
      </c>
      <c r="G599" t="s">
        <v>79</v>
      </c>
      <c r="H599">
        <v>1</v>
      </c>
      <c r="I599">
        <v>1302</v>
      </c>
      <c r="J599" s="5">
        <f t="shared" si="46"/>
        <v>1302</v>
      </c>
      <c r="K599">
        <v>1550</v>
      </c>
      <c r="L599" s="9">
        <f t="shared" si="47"/>
        <v>1550</v>
      </c>
      <c r="M599" s="9">
        <f t="shared" si="48"/>
        <v>248</v>
      </c>
    </row>
    <row r="600" spans="1:13" hidden="1" x14ac:dyDescent="0.25">
      <c r="A600">
        <v>50</v>
      </c>
      <c r="B600" s="1">
        <v>44063</v>
      </c>
      <c r="C600" t="str">
        <f t="shared" si="45"/>
        <v>agosto</v>
      </c>
      <c r="D600" t="s">
        <v>167</v>
      </c>
      <c r="E600" t="s">
        <v>55</v>
      </c>
      <c r="G600" t="s">
        <v>399</v>
      </c>
      <c r="H600">
        <v>6</v>
      </c>
      <c r="I600">
        <v>268</v>
      </c>
      <c r="J600" s="5">
        <f t="shared" si="46"/>
        <v>1608</v>
      </c>
      <c r="K600">
        <v>300</v>
      </c>
      <c r="L600" s="9">
        <f t="shared" si="47"/>
        <v>1800</v>
      </c>
      <c r="M600" s="9">
        <f t="shared" si="48"/>
        <v>192</v>
      </c>
    </row>
    <row r="601" spans="1:13" hidden="1" x14ac:dyDescent="0.25">
      <c r="A601">
        <v>51</v>
      </c>
      <c r="B601" s="1">
        <v>44065</v>
      </c>
      <c r="C601" t="str">
        <f t="shared" si="45"/>
        <v>agosto</v>
      </c>
      <c r="D601" t="s">
        <v>167</v>
      </c>
      <c r="E601" t="s">
        <v>15</v>
      </c>
      <c r="G601" t="s">
        <v>357</v>
      </c>
      <c r="H601">
        <v>30</v>
      </c>
      <c r="I601">
        <v>219</v>
      </c>
      <c r="J601" s="5">
        <f t="shared" si="46"/>
        <v>6570</v>
      </c>
      <c r="K601">
        <v>240</v>
      </c>
      <c r="L601" s="9">
        <f t="shared" si="47"/>
        <v>7200</v>
      </c>
      <c r="M601" s="9">
        <f t="shared" si="48"/>
        <v>630</v>
      </c>
    </row>
    <row r="602" spans="1:13" hidden="1" x14ac:dyDescent="0.25">
      <c r="A602">
        <v>52</v>
      </c>
      <c r="B602" s="1">
        <v>44065</v>
      </c>
      <c r="C602" t="str">
        <f t="shared" si="45"/>
        <v>agosto</v>
      </c>
      <c r="D602" t="s">
        <v>167</v>
      </c>
      <c r="E602" t="s">
        <v>15</v>
      </c>
      <c r="G602" t="s">
        <v>131</v>
      </c>
      <c r="H602">
        <v>5</v>
      </c>
      <c r="I602">
        <v>268</v>
      </c>
      <c r="J602" s="5">
        <f t="shared" si="46"/>
        <v>1340</v>
      </c>
      <c r="K602">
        <v>300</v>
      </c>
      <c r="L602" s="9">
        <f t="shared" si="47"/>
        <v>1500</v>
      </c>
      <c r="M602" s="9">
        <f t="shared" si="48"/>
        <v>160</v>
      </c>
    </row>
    <row r="603" spans="1:13" hidden="1" x14ac:dyDescent="0.25">
      <c r="A603">
        <v>53</v>
      </c>
      <c r="B603" s="1">
        <v>44065</v>
      </c>
      <c r="C603" t="str">
        <f t="shared" si="45"/>
        <v>agosto</v>
      </c>
      <c r="D603" t="s">
        <v>167</v>
      </c>
      <c r="E603" t="s">
        <v>15</v>
      </c>
      <c r="G603" t="s">
        <v>312</v>
      </c>
      <c r="H603">
        <v>5</v>
      </c>
      <c r="I603">
        <v>268</v>
      </c>
      <c r="J603" s="5">
        <f t="shared" si="46"/>
        <v>1340</v>
      </c>
      <c r="K603">
        <v>300</v>
      </c>
      <c r="L603" s="9">
        <f t="shared" si="47"/>
        <v>1500</v>
      </c>
      <c r="M603" s="9">
        <f t="shared" si="48"/>
        <v>160</v>
      </c>
    </row>
    <row r="604" spans="1:13" hidden="1" x14ac:dyDescent="0.25">
      <c r="A604">
        <v>54</v>
      </c>
      <c r="B604" s="1">
        <v>44065</v>
      </c>
      <c r="C604" t="str">
        <f t="shared" si="45"/>
        <v>agosto</v>
      </c>
      <c r="D604" t="s">
        <v>167</v>
      </c>
      <c r="E604" t="s">
        <v>15</v>
      </c>
      <c r="G604" t="s">
        <v>401</v>
      </c>
      <c r="H604">
        <v>20</v>
      </c>
      <c r="I604">
        <v>268</v>
      </c>
      <c r="J604" s="5">
        <f t="shared" si="46"/>
        <v>5360</v>
      </c>
      <c r="K604">
        <v>300</v>
      </c>
      <c r="L604" s="9">
        <f t="shared" si="47"/>
        <v>6000</v>
      </c>
      <c r="M604" s="9">
        <f t="shared" si="48"/>
        <v>640</v>
      </c>
    </row>
    <row r="605" spans="1:13" hidden="1" x14ac:dyDescent="0.25">
      <c r="A605">
        <v>55</v>
      </c>
      <c r="B605" s="1">
        <v>44065</v>
      </c>
      <c r="C605" t="str">
        <f t="shared" si="45"/>
        <v>agosto</v>
      </c>
      <c r="D605" t="s">
        <v>167</v>
      </c>
      <c r="E605" t="s">
        <v>15</v>
      </c>
      <c r="G605" t="s">
        <v>104</v>
      </c>
      <c r="H605">
        <v>20</v>
      </c>
      <c r="I605">
        <v>268</v>
      </c>
      <c r="J605" s="5">
        <f t="shared" si="46"/>
        <v>5360</v>
      </c>
      <c r="K605">
        <v>300</v>
      </c>
      <c r="L605" s="9">
        <f t="shared" si="47"/>
        <v>6000</v>
      </c>
      <c r="M605" s="9">
        <f t="shared" si="48"/>
        <v>640</v>
      </c>
    </row>
    <row r="606" spans="1:13" hidden="1" x14ac:dyDescent="0.25">
      <c r="A606">
        <v>56</v>
      </c>
      <c r="B606" s="1">
        <v>44065</v>
      </c>
      <c r="C606" t="str">
        <f t="shared" si="45"/>
        <v>agosto</v>
      </c>
      <c r="D606" t="s">
        <v>167</v>
      </c>
      <c r="E606" t="s">
        <v>55</v>
      </c>
      <c r="G606" t="s">
        <v>22</v>
      </c>
      <c r="H606">
        <v>14.1599</v>
      </c>
      <c r="I606">
        <v>268</v>
      </c>
      <c r="J606" s="5">
        <f t="shared" si="46"/>
        <v>3794.8532</v>
      </c>
      <c r="K606">
        <v>300</v>
      </c>
      <c r="L606" s="9">
        <f t="shared" si="47"/>
        <v>4247.97</v>
      </c>
      <c r="M606" s="9">
        <f t="shared" si="48"/>
        <v>453.11680000000024</v>
      </c>
    </row>
    <row r="607" spans="1:13" hidden="1" x14ac:dyDescent="0.25">
      <c r="A607">
        <v>57</v>
      </c>
      <c r="B607" s="1">
        <v>44065</v>
      </c>
      <c r="C607" t="str">
        <f t="shared" si="45"/>
        <v>agosto</v>
      </c>
      <c r="D607" t="s">
        <v>167</v>
      </c>
      <c r="E607" t="s">
        <v>15</v>
      </c>
      <c r="G607" t="s">
        <v>21</v>
      </c>
      <c r="H607">
        <v>10</v>
      </c>
      <c r="I607">
        <v>268</v>
      </c>
      <c r="J607" s="5">
        <f t="shared" si="46"/>
        <v>2680</v>
      </c>
      <c r="K607">
        <v>300</v>
      </c>
      <c r="L607" s="9">
        <f t="shared" si="47"/>
        <v>3000</v>
      </c>
      <c r="M607" s="9">
        <f t="shared" si="48"/>
        <v>320</v>
      </c>
    </row>
    <row r="608" spans="1:13" hidden="1" x14ac:dyDescent="0.25">
      <c r="A608">
        <v>58</v>
      </c>
      <c r="B608" s="1">
        <v>44065</v>
      </c>
      <c r="C608" t="str">
        <f t="shared" si="45"/>
        <v>agosto</v>
      </c>
      <c r="D608" t="s">
        <v>167</v>
      </c>
      <c r="E608" t="s">
        <v>15</v>
      </c>
      <c r="G608" t="s">
        <v>414</v>
      </c>
      <c r="H608">
        <v>5</v>
      </c>
      <c r="I608">
        <v>268</v>
      </c>
      <c r="J608" s="5">
        <f t="shared" si="46"/>
        <v>1340</v>
      </c>
      <c r="K608">
        <v>300</v>
      </c>
      <c r="L608" s="9">
        <f t="shared" si="47"/>
        <v>1500</v>
      </c>
      <c r="M608" s="9">
        <f t="shared" si="48"/>
        <v>160</v>
      </c>
    </row>
    <row r="609" spans="1:13" hidden="1" x14ac:dyDescent="0.25">
      <c r="A609">
        <v>59</v>
      </c>
      <c r="B609" s="1">
        <v>44065</v>
      </c>
      <c r="C609" t="str">
        <f t="shared" si="45"/>
        <v>agosto</v>
      </c>
      <c r="D609" t="s">
        <v>167</v>
      </c>
      <c r="E609" t="s">
        <v>15</v>
      </c>
      <c r="G609" t="s">
        <v>397</v>
      </c>
      <c r="H609">
        <v>20</v>
      </c>
      <c r="I609">
        <v>219</v>
      </c>
      <c r="J609" s="5">
        <f t="shared" si="46"/>
        <v>4380</v>
      </c>
      <c r="K609">
        <v>250</v>
      </c>
      <c r="L609" s="9">
        <f t="shared" si="47"/>
        <v>5000</v>
      </c>
      <c r="M609" s="9">
        <f t="shared" si="48"/>
        <v>620</v>
      </c>
    </row>
    <row r="610" spans="1:13" hidden="1" x14ac:dyDescent="0.25">
      <c r="A610">
        <v>60</v>
      </c>
      <c r="B610" s="1">
        <v>44065</v>
      </c>
      <c r="C610" t="str">
        <f t="shared" si="45"/>
        <v>agosto</v>
      </c>
      <c r="D610" t="s">
        <v>167</v>
      </c>
      <c r="E610" t="s">
        <v>55</v>
      </c>
      <c r="G610" t="s">
        <v>399</v>
      </c>
      <c r="H610">
        <v>5.0148999999999999</v>
      </c>
      <c r="I610">
        <v>268</v>
      </c>
      <c r="J610" s="5">
        <f t="shared" si="46"/>
        <v>1343.9931999999999</v>
      </c>
      <c r="K610">
        <v>300</v>
      </c>
      <c r="L610" s="9">
        <f t="shared" si="47"/>
        <v>1504.47</v>
      </c>
      <c r="M610" s="9">
        <f t="shared" si="48"/>
        <v>160.47680000000014</v>
      </c>
    </row>
    <row r="611" spans="1:13" hidden="1" x14ac:dyDescent="0.25">
      <c r="A611">
        <v>61</v>
      </c>
      <c r="B611" s="1">
        <v>44065</v>
      </c>
      <c r="C611" t="str">
        <f t="shared" si="45"/>
        <v>agosto</v>
      </c>
      <c r="D611" t="s">
        <v>167</v>
      </c>
      <c r="E611" t="s">
        <v>55</v>
      </c>
      <c r="G611" t="s">
        <v>108</v>
      </c>
      <c r="H611">
        <v>7.0799000000000003</v>
      </c>
      <c r="I611">
        <v>268</v>
      </c>
      <c r="J611" s="5">
        <f t="shared" si="46"/>
        <v>1897.4132000000002</v>
      </c>
      <c r="K611">
        <v>300</v>
      </c>
      <c r="L611" s="9">
        <f t="shared" si="47"/>
        <v>2123.9700000000003</v>
      </c>
      <c r="M611" s="9">
        <f t="shared" si="48"/>
        <v>226.55680000000007</v>
      </c>
    </row>
    <row r="612" spans="1:13" hidden="1" x14ac:dyDescent="0.25">
      <c r="A612">
        <v>62</v>
      </c>
      <c r="B612" s="1">
        <v>44068</v>
      </c>
      <c r="C612" t="str">
        <f t="shared" si="45"/>
        <v>agosto</v>
      </c>
      <c r="D612" t="s">
        <v>99</v>
      </c>
      <c r="E612" t="s">
        <v>26</v>
      </c>
      <c r="G612" t="s">
        <v>100</v>
      </c>
      <c r="H612">
        <v>100.8</v>
      </c>
      <c r="I612">
        <v>260</v>
      </c>
      <c r="J612" s="5">
        <f t="shared" si="46"/>
        <v>26208</v>
      </c>
      <c r="K612">
        <v>350</v>
      </c>
      <c r="L612" s="9">
        <f t="shared" si="47"/>
        <v>35280</v>
      </c>
      <c r="M612" s="9">
        <f t="shared" si="48"/>
        <v>9072</v>
      </c>
    </row>
    <row r="613" spans="1:13" hidden="1" x14ac:dyDescent="0.25">
      <c r="B613" s="1">
        <v>44044</v>
      </c>
      <c r="C613" t="str">
        <f t="shared" si="45"/>
        <v>agosto</v>
      </c>
      <c r="D613" t="s">
        <v>163</v>
      </c>
      <c r="E613" t="s">
        <v>75</v>
      </c>
      <c r="G613" t="s">
        <v>443</v>
      </c>
      <c r="H613">
        <v>40</v>
      </c>
      <c r="I613">
        <v>31</v>
      </c>
      <c r="J613" s="5">
        <f t="shared" si="46"/>
        <v>1240</v>
      </c>
      <c r="K613">
        <v>45</v>
      </c>
      <c r="L613" s="9">
        <f t="shared" si="47"/>
        <v>1800</v>
      </c>
      <c r="M613" s="9">
        <f t="shared" si="48"/>
        <v>560</v>
      </c>
    </row>
    <row r="614" spans="1:13" x14ac:dyDescent="0.25">
      <c r="B614" s="1">
        <v>44044</v>
      </c>
      <c r="C614" t="str">
        <f t="shared" si="45"/>
        <v>agosto</v>
      </c>
      <c r="D614" t="s">
        <v>163</v>
      </c>
      <c r="E614" t="s">
        <v>15</v>
      </c>
      <c r="G614" t="s">
        <v>32</v>
      </c>
      <c r="H614">
        <v>5</v>
      </c>
      <c r="I614">
        <v>246</v>
      </c>
      <c r="J614" s="5">
        <f t="shared" si="46"/>
        <v>1230</v>
      </c>
      <c r="K614">
        <v>280</v>
      </c>
      <c r="L614" s="9">
        <f t="shared" si="47"/>
        <v>1400</v>
      </c>
      <c r="M614" s="9">
        <f t="shared" si="48"/>
        <v>170</v>
      </c>
    </row>
    <row r="615" spans="1:13" x14ac:dyDescent="0.25">
      <c r="B615" s="1">
        <v>44044</v>
      </c>
      <c r="C615" t="str">
        <f t="shared" si="45"/>
        <v>agosto</v>
      </c>
      <c r="D615" t="s">
        <v>163</v>
      </c>
      <c r="E615" t="s">
        <v>15</v>
      </c>
      <c r="G615" t="s">
        <v>31</v>
      </c>
      <c r="H615">
        <v>5</v>
      </c>
      <c r="I615">
        <v>249</v>
      </c>
      <c r="J615" s="5">
        <f t="shared" si="46"/>
        <v>1245</v>
      </c>
      <c r="K615">
        <v>280</v>
      </c>
      <c r="L615" s="9">
        <f t="shared" si="47"/>
        <v>1400</v>
      </c>
      <c r="M615" s="9">
        <f t="shared" si="48"/>
        <v>155</v>
      </c>
    </row>
    <row r="616" spans="1:13" x14ac:dyDescent="0.25">
      <c r="B616" s="1">
        <v>44058</v>
      </c>
      <c r="C616" t="str">
        <f t="shared" si="45"/>
        <v>agosto</v>
      </c>
      <c r="D616" t="s">
        <v>163</v>
      </c>
      <c r="E616" t="s">
        <v>15</v>
      </c>
      <c r="G616" t="s">
        <v>396</v>
      </c>
      <c r="H616">
        <v>8</v>
      </c>
      <c r="I616">
        <v>248</v>
      </c>
      <c r="J616" s="5">
        <f t="shared" si="46"/>
        <v>1984</v>
      </c>
    </row>
    <row r="617" spans="1:13" x14ac:dyDescent="0.25">
      <c r="B617" s="1">
        <v>44058</v>
      </c>
      <c r="C617" t="str">
        <f t="shared" si="45"/>
        <v>agosto</v>
      </c>
      <c r="D617" t="s">
        <v>163</v>
      </c>
      <c r="E617" t="s">
        <v>15</v>
      </c>
      <c r="G617" t="s">
        <v>20</v>
      </c>
      <c r="H617">
        <v>50</v>
      </c>
      <c r="I617">
        <v>232</v>
      </c>
      <c r="J617" s="5">
        <f t="shared" si="46"/>
        <v>11600</v>
      </c>
    </row>
    <row r="618" spans="1:13" x14ac:dyDescent="0.25">
      <c r="B618" s="1">
        <v>44058</v>
      </c>
      <c r="C618" t="str">
        <f t="shared" si="45"/>
        <v>agosto</v>
      </c>
      <c r="D618" t="s">
        <v>163</v>
      </c>
      <c r="E618" t="s">
        <v>15</v>
      </c>
      <c r="G618" t="s">
        <v>296</v>
      </c>
      <c r="H618">
        <v>3</v>
      </c>
      <c r="I618">
        <v>233</v>
      </c>
      <c r="J618" s="5">
        <f t="shared" si="46"/>
        <v>699</v>
      </c>
      <c r="L618" s="56"/>
      <c r="M618" s="56"/>
    </row>
    <row r="619" spans="1:13" hidden="1" x14ac:dyDescent="0.25">
      <c r="B619" s="1">
        <v>44058</v>
      </c>
      <c r="C619" t="str">
        <f t="shared" si="45"/>
        <v>agosto</v>
      </c>
      <c r="D619" t="s">
        <v>163</v>
      </c>
      <c r="E619" t="s">
        <v>56</v>
      </c>
      <c r="G619" t="s">
        <v>267</v>
      </c>
      <c r="H619">
        <v>30</v>
      </c>
      <c r="I619">
        <v>123</v>
      </c>
      <c r="J619" s="5">
        <f t="shared" si="46"/>
        <v>3690</v>
      </c>
    </row>
    <row r="620" spans="1:13" hidden="1" x14ac:dyDescent="0.25">
      <c r="B620" s="1">
        <v>44058</v>
      </c>
      <c r="C620" t="str">
        <f t="shared" si="45"/>
        <v>agosto</v>
      </c>
      <c r="D620" t="s">
        <v>163</v>
      </c>
      <c r="E620" t="s">
        <v>56</v>
      </c>
      <c r="G620" t="s">
        <v>176</v>
      </c>
      <c r="H620">
        <v>15</v>
      </c>
      <c r="I620">
        <v>189</v>
      </c>
      <c r="J620" s="5">
        <f t="shared" si="46"/>
        <v>2835</v>
      </c>
      <c r="L620" s="56"/>
    </row>
    <row r="621" spans="1:13" x14ac:dyDescent="0.25">
      <c r="B621" s="1">
        <v>44065</v>
      </c>
      <c r="C621" t="str">
        <f t="shared" si="45"/>
        <v>agosto</v>
      </c>
      <c r="D621" t="s">
        <v>163</v>
      </c>
      <c r="E621" t="s">
        <v>15</v>
      </c>
      <c r="G621" t="s">
        <v>29</v>
      </c>
      <c r="H621">
        <v>100</v>
      </c>
      <c r="I621">
        <v>212</v>
      </c>
      <c r="J621" s="5">
        <f t="shared" si="46"/>
        <v>21200</v>
      </c>
    </row>
    <row r="622" spans="1:13" hidden="1" x14ac:dyDescent="0.25">
      <c r="B622" s="1">
        <v>44065</v>
      </c>
      <c r="C622" t="str">
        <f t="shared" si="45"/>
        <v>agosto</v>
      </c>
      <c r="D622" t="s">
        <v>163</v>
      </c>
      <c r="E622" t="s">
        <v>56</v>
      </c>
      <c r="G622" t="s">
        <v>267</v>
      </c>
      <c r="H622">
        <v>60</v>
      </c>
      <c r="I622">
        <v>123</v>
      </c>
      <c r="J622" s="5">
        <f t="shared" si="46"/>
        <v>7380</v>
      </c>
    </row>
    <row r="623" spans="1:13" hidden="1" x14ac:dyDescent="0.25">
      <c r="B623" s="1">
        <v>44065</v>
      </c>
      <c r="C623" t="str">
        <f t="shared" si="45"/>
        <v>agosto</v>
      </c>
      <c r="D623" t="s">
        <v>163</v>
      </c>
      <c r="E623" t="s">
        <v>56</v>
      </c>
      <c r="G623" t="s">
        <v>176</v>
      </c>
      <c r="H623">
        <v>15</v>
      </c>
      <c r="I623">
        <v>189</v>
      </c>
      <c r="J623" s="5">
        <f t="shared" si="46"/>
        <v>2835</v>
      </c>
      <c r="L623" s="56"/>
    </row>
    <row r="624" spans="1:13" hidden="1" x14ac:dyDescent="0.25">
      <c r="B624" s="1">
        <v>44065</v>
      </c>
      <c r="C624" t="str">
        <f t="shared" si="45"/>
        <v>agosto</v>
      </c>
      <c r="D624" t="s">
        <v>163</v>
      </c>
      <c r="E624" t="s">
        <v>541</v>
      </c>
      <c r="G624" t="s">
        <v>444</v>
      </c>
      <c r="H624">
        <v>15</v>
      </c>
      <c r="I624">
        <v>228</v>
      </c>
      <c r="J624" s="5">
        <f t="shared" si="46"/>
        <v>3420</v>
      </c>
    </row>
    <row r="625" spans="2:13" x14ac:dyDescent="0.25">
      <c r="B625" s="1">
        <v>44072</v>
      </c>
      <c r="C625" t="str">
        <f t="shared" si="45"/>
        <v>agosto</v>
      </c>
      <c r="D625" t="s">
        <v>163</v>
      </c>
      <c r="E625" t="s">
        <v>15</v>
      </c>
      <c r="G625" t="s">
        <v>20</v>
      </c>
      <c r="H625">
        <v>100</v>
      </c>
      <c r="I625">
        <v>232</v>
      </c>
      <c r="J625" s="5">
        <f t="shared" si="46"/>
        <v>23200</v>
      </c>
    </row>
    <row r="626" spans="2:13" x14ac:dyDescent="0.25">
      <c r="B626" s="1">
        <v>44072</v>
      </c>
      <c r="C626" t="str">
        <f t="shared" si="45"/>
        <v>agosto</v>
      </c>
      <c r="D626" t="s">
        <v>163</v>
      </c>
      <c r="E626" t="s">
        <v>15</v>
      </c>
      <c r="G626" t="s">
        <v>29</v>
      </c>
      <c r="H626">
        <v>100</v>
      </c>
      <c r="I626">
        <v>212</v>
      </c>
      <c r="J626" s="5">
        <f t="shared" si="46"/>
        <v>21200</v>
      </c>
    </row>
    <row r="627" spans="2:13" x14ac:dyDescent="0.25">
      <c r="B627" s="1">
        <v>44072</v>
      </c>
      <c r="C627" t="str">
        <f t="shared" si="45"/>
        <v>agosto</v>
      </c>
      <c r="D627" t="s">
        <v>163</v>
      </c>
      <c r="E627" t="s">
        <v>15</v>
      </c>
      <c r="G627" t="s">
        <v>440</v>
      </c>
      <c r="H627">
        <v>30</v>
      </c>
      <c r="I627">
        <v>234</v>
      </c>
      <c r="J627" s="5">
        <f t="shared" si="46"/>
        <v>7020</v>
      </c>
    </row>
    <row r="628" spans="2:13" x14ac:dyDescent="0.25">
      <c r="B628" s="1">
        <v>44072</v>
      </c>
      <c r="C628" t="str">
        <f t="shared" si="45"/>
        <v>agosto</v>
      </c>
      <c r="D628" t="s">
        <v>163</v>
      </c>
      <c r="E628" t="s">
        <v>15</v>
      </c>
      <c r="G628" t="s">
        <v>438</v>
      </c>
      <c r="H628">
        <v>10</v>
      </c>
      <c r="I628">
        <v>220</v>
      </c>
      <c r="J628" s="5">
        <f t="shared" si="46"/>
        <v>2200</v>
      </c>
    </row>
    <row r="629" spans="2:13" x14ac:dyDescent="0.25">
      <c r="B629" s="1">
        <v>44079</v>
      </c>
      <c r="C629" t="str">
        <f t="shared" si="45"/>
        <v>septiembre</v>
      </c>
      <c r="D629" t="s">
        <v>163</v>
      </c>
      <c r="E629" t="s">
        <v>15</v>
      </c>
      <c r="G629" t="s">
        <v>504</v>
      </c>
      <c r="H629">
        <v>10</v>
      </c>
      <c r="I629">
        <v>249</v>
      </c>
      <c r="J629" s="5">
        <f t="shared" si="46"/>
        <v>2490</v>
      </c>
      <c r="L629" s="56"/>
      <c r="M629" s="56"/>
    </row>
    <row r="630" spans="2:13" x14ac:dyDescent="0.25">
      <c r="B630" s="1">
        <v>44079</v>
      </c>
      <c r="C630" t="str">
        <f t="shared" si="45"/>
        <v>septiembre</v>
      </c>
      <c r="D630" t="s">
        <v>163</v>
      </c>
      <c r="E630" t="s">
        <v>15</v>
      </c>
      <c r="G630" t="s">
        <v>76</v>
      </c>
      <c r="H630">
        <v>8</v>
      </c>
      <c r="I630">
        <v>233</v>
      </c>
      <c r="J630" s="5">
        <f t="shared" si="46"/>
        <v>1864</v>
      </c>
    </row>
    <row r="631" spans="2:13" x14ac:dyDescent="0.25">
      <c r="B631" s="1">
        <v>44079</v>
      </c>
      <c r="C631" t="str">
        <f t="shared" si="45"/>
        <v>septiembre</v>
      </c>
      <c r="D631" t="s">
        <v>163</v>
      </c>
      <c r="E631" t="s">
        <v>15</v>
      </c>
      <c r="G631" t="s">
        <v>438</v>
      </c>
      <c r="H631">
        <v>8</v>
      </c>
      <c r="I631">
        <v>233</v>
      </c>
      <c r="J631" s="5">
        <f t="shared" si="46"/>
        <v>1864</v>
      </c>
    </row>
    <row r="632" spans="2:13" x14ac:dyDescent="0.25">
      <c r="B632" s="1">
        <v>44079</v>
      </c>
      <c r="C632" t="str">
        <f t="shared" si="45"/>
        <v>septiembre</v>
      </c>
      <c r="D632" t="s">
        <v>163</v>
      </c>
      <c r="E632" t="s">
        <v>15</v>
      </c>
      <c r="G632" t="s">
        <v>29</v>
      </c>
      <c r="H632">
        <v>50</v>
      </c>
      <c r="I632">
        <v>212</v>
      </c>
      <c r="J632" s="5">
        <f t="shared" si="46"/>
        <v>10600</v>
      </c>
    </row>
    <row r="633" spans="2:13" hidden="1" x14ac:dyDescent="0.25">
      <c r="B633" s="1">
        <v>44079</v>
      </c>
      <c r="C633" t="str">
        <f t="shared" si="45"/>
        <v>septiembre</v>
      </c>
      <c r="D633" t="s">
        <v>163</v>
      </c>
      <c r="E633" t="s">
        <v>55</v>
      </c>
      <c r="G633" t="s">
        <v>542</v>
      </c>
      <c r="H633">
        <v>4</v>
      </c>
      <c r="I633">
        <v>290</v>
      </c>
      <c r="J633" s="5">
        <f t="shared" si="46"/>
        <v>1160</v>
      </c>
    </row>
    <row r="634" spans="2:13" x14ac:dyDescent="0.25">
      <c r="B634" s="1">
        <v>44079</v>
      </c>
      <c r="C634" t="str">
        <f t="shared" si="45"/>
        <v>septiembre</v>
      </c>
      <c r="D634" t="s">
        <v>163</v>
      </c>
      <c r="E634" t="s">
        <v>15</v>
      </c>
      <c r="G634" t="s">
        <v>481</v>
      </c>
      <c r="H634">
        <v>50</v>
      </c>
      <c r="I634">
        <v>220</v>
      </c>
      <c r="J634" s="5">
        <f t="shared" si="46"/>
        <v>11000</v>
      </c>
    </row>
    <row r="635" spans="2:13" hidden="1" x14ac:dyDescent="0.25">
      <c r="B635" s="1">
        <v>44079</v>
      </c>
      <c r="C635" t="str">
        <f t="shared" si="45"/>
        <v>septiembre</v>
      </c>
      <c r="D635" t="s">
        <v>163</v>
      </c>
      <c r="E635" t="s">
        <v>56</v>
      </c>
      <c r="G635" t="s">
        <v>176</v>
      </c>
      <c r="H635">
        <v>15</v>
      </c>
      <c r="I635">
        <v>189</v>
      </c>
      <c r="J635" s="5">
        <f t="shared" si="46"/>
        <v>2835</v>
      </c>
      <c r="L635" s="56"/>
    </row>
    <row r="636" spans="2:13" hidden="1" x14ac:dyDescent="0.25">
      <c r="B636" s="1">
        <v>44079</v>
      </c>
      <c r="C636" t="str">
        <f t="shared" si="45"/>
        <v>septiembre</v>
      </c>
      <c r="D636" t="s">
        <v>163</v>
      </c>
      <c r="E636" t="s">
        <v>25</v>
      </c>
      <c r="G636" t="s">
        <v>173</v>
      </c>
      <c r="H636">
        <v>5</v>
      </c>
      <c r="I636">
        <v>71</v>
      </c>
      <c r="J636" s="5">
        <f t="shared" si="46"/>
        <v>355</v>
      </c>
      <c r="L636" s="56"/>
    </row>
    <row r="637" spans="2:13" hidden="1" x14ac:dyDescent="0.25">
      <c r="B637" s="1">
        <v>44079</v>
      </c>
      <c r="C637" t="str">
        <f t="shared" si="45"/>
        <v>septiembre</v>
      </c>
      <c r="D637" t="s">
        <v>163</v>
      </c>
      <c r="E637" t="s">
        <v>25</v>
      </c>
      <c r="G637" t="s">
        <v>145</v>
      </c>
      <c r="H637">
        <v>5</v>
      </c>
      <c r="I637">
        <v>71</v>
      </c>
      <c r="J637" s="5">
        <f t="shared" si="46"/>
        <v>355</v>
      </c>
    </row>
    <row r="638" spans="2:13" hidden="1" x14ac:dyDescent="0.25">
      <c r="B638" s="1">
        <v>44079</v>
      </c>
      <c r="C638" t="str">
        <f t="shared" si="45"/>
        <v>septiembre</v>
      </c>
      <c r="D638" t="s">
        <v>163</v>
      </c>
      <c r="E638" t="s">
        <v>25</v>
      </c>
      <c r="G638" t="s">
        <v>170</v>
      </c>
      <c r="H638">
        <v>4</v>
      </c>
      <c r="I638">
        <v>36</v>
      </c>
      <c r="J638" s="5">
        <f t="shared" si="46"/>
        <v>144</v>
      </c>
    </row>
    <row r="639" spans="2:13" x14ac:dyDescent="0.25">
      <c r="B639" s="1">
        <v>44086</v>
      </c>
      <c r="C639" t="str">
        <f t="shared" si="45"/>
        <v>septiembre</v>
      </c>
      <c r="D639" t="s">
        <v>163</v>
      </c>
      <c r="E639" t="s">
        <v>15</v>
      </c>
      <c r="G639" t="s">
        <v>32</v>
      </c>
      <c r="H639">
        <v>10</v>
      </c>
      <c r="I639">
        <v>248</v>
      </c>
      <c r="J639" s="5">
        <f t="shared" si="46"/>
        <v>2480</v>
      </c>
    </row>
    <row r="640" spans="2:13" x14ac:dyDescent="0.25">
      <c r="B640" s="1">
        <v>44086</v>
      </c>
      <c r="C640" t="str">
        <f t="shared" si="45"/>
        <v>septiembre</v>
      </c>
      <c r="D640" t="s">
        <v>163</v>
      </c>
      <c r="E640" t="s">
        <v>15</v>
      </c>
      <c r="G640" t="s">
        <v>31</v>
      </c>
      <c r="H640">
        <v>10</v>
      </c>
      <c r="I640">
        <v>248</v>
      </c>
      <c r="J640" s="5">
        <f t="shared" si="46"/>
        <v>2480</v>
      </c>
    </row>
    <row r="641" spans="2:13" x14ac:dyDescent="0.25">
      <c r="B641" s="1">
        <v>44086</v>
      </c>
      <c r="C641" t="str">
        <f t="shared" si="45"/>
        <v>septiembre</v>
      </c>
      <c r="D641" t="s">
        <v>163</v>
      </c>
      <c r="E641" t="s">
        <v>15</v>
      </c>
      <c r="G641" t="s">
        <v>481</v>
      </c>
      <c r="H641">
        <v>50</v>
      </c>
      <c r="I641">
        <v>220</v>
      </c>
      <c r="J641" s="5">
        <f t="shared" si="46"/>
        <v>11000</v>
      </c>
    </row>
    <row r="642" spans="2:13" x14ac:dyDescent="0.25">
      <c r="B642" s="1">
        <v>44086</v>
      </c>
      <c r="C642" t="str">
        <f t="shared" ref="C642:C705" si="49">+TEXT(B642,"mmmm")</f>
        <v>septiembre</v>
      </c>
      <c r="D642" t="s">
        <v>163</v>
      </c>
      <c r="E642" t="s">
        <v>15</v>
      </c>
      <c r="G642" t="s">
        <v>29</v>
      </c>
      <c r="H642">
        <v>150</v>
      </c>
      <c r="I642">
        <v>212</v>
      </c>
      <c r="J642" s="5">
        <f t="shared" ref="J642:J705" si="50">+H642*I642</f>
        <v>31800</v>
      </c>
    </row>
    <row r="643" spans="2:13" x14ac:dyDescent="0.25">
      <c r="B643" s="1">
        <v>44086</v>
      </c>
      <c r="C643" t="str">
        <f t="shared" si="49"/>
        <v>septiembre</v>
      </c>
      <c r="D643" t="s">
        <v>163</v>
      </c>
      <c r="E643" t="s">
        <v>15</v>
      </c>
      <c r="G643" t="s">
        <v>20</v>
      </c>
      <c r="H643">
        <v>50</v>
      </c>
      <c r="I643">
        <v>232</v>
      </c>
      <c r="J643" s="5">
        <f t="shared" si="50"/>
        <v>11600</v>
      </c>
    </row>
    <row r="644" spans="2:13" hidden="1" x14ac:dyDescent="0.25">
      <c r="B644" s="1">
        <v>44086</v>
      </c>
      <c r="C644" t="str">
        <f t="shared" si="49"/>
        <v>septiembre</v>
      </c>
      <c r="D644" t="s">
        <v>163</v>
      </c>
      <c r="E644" t="s">
        <v>56</v>
      </c>
      <c r="G644" t="s">
        <v>176</v>
      </c>
      <c r="H644">
        <v>15</v>
      </c>
      <c r="I644">
        <v>189</v>
      </c>
      <c r="J644" s="5">
        <f t="shared" si="50"/>
        <v>2835</v>
      </c>
      <c r="L644" s="56"/>
    </row>
    <row r="645" spans="2:13" hidden="1" x14ac:dyDescent="0.25">
      <c r="B645" s="1">
        <v>44086</v>
      </c>
      <c r="C645" t="str">
        <f t="shared" si="49"/>
        <v>septiembre</v>
      </c>
      <c r="D645" t="s">
        <v>163</v>
      </c>
      <c r="E645" t="s">
        <v>56</v>
      </c>
      <c r="G645" t="s">
        <v>267</v>
      </c>
      <c r="H645">
        <v>45</v>
      </c>
      <c r="I645">
        <v>123</v>
      </c>
      <c r="J645" s="5">
        <f t="shared" si="50"/>
        <v>5535</v>
      </c>
    </row>
    <row r="646" spans="2:13" hidden="1" x14ac:dyDescent="0.25">
      <c r="B646" s="1">
        <v>44086</v>
      </c>
      <c r="C646" t="str">
        <f t="shared" si="49"/>
        <v>septiembre</v>
      </c>
      <c r="D646" t="s">
        <v>163</v>
      </c>
      <c r="E646" t="s">
        <v>25</v>
      </c>
      <c r="G646" t="s">
        <v>173</v>
      </c>
      <c r="H646">
        <v>8</v>
      </c>
      <c r="I646">
        <v>71</v>
      </c>
      <c r="J646" s="5">
        <f t="shared" si="50"/>
        <v>568</v>
      </c>
      <c r="L646" s="56"/>
    </row>
    <row r="647" spans="2:13" hidden="1" x14ac:dyDescent="0.25">
      <c r="B647" s="1">
        <v>44086</v>
      </c>
      <c r="C647" t="str">
        <f t="shared" si="49"/>
        <v>septiembre</v>
      </c>
      <c r="D647" t="s">
        <v>163</v>
      </c>
      <c r="E647" t="s">
        <v>55</v>
      </c>
      <c r="G647" t="s">
        <v>543</v>
      </c>
      <c r="H647">
        <v>3</v>
      </c>
      <c r="I647">
        <v>326</v>
      </c>
      <c r="J647" s="5">
        <f t="shared" si="50"/>
        <v>978</v>
      </c>
    </row>
    <row r="648" spans="2:13" hidden="1" x14ac:dyDescent="0.25">
      <c r="B648" s="1">
        <v>44093</v>
      </c>
      <c r="C648" t="str">
        <f t="shared" si="49"/>
        <v>septiembre</v>
      </c>
      <c r="D648" t="s">
        <v>163</v>
      </c>
      <c r="E648" t="s">
        <v>56</v>
      </c>
      <c r="G648" t="s">
        <v>267</v>
      </c>
      <c r="H648">
        <v>30</v>
      </c>
      <c r="I648">
        <v>123</v>
      </c>
      <c r="J648" s="5">
        <f t="shared" si="50"/>
        <v>3690</v>
      </c>
    </row>
    <row r="649" spans="2:13" hidden="1" x14ac:dyDescent="0.25">
      <c r="B649" s="1">
        <v>44093</v>
      </c>
      <c r="C649" t="str">
        <f t="shared" si="49"/>
        <v>septiembre</v>
      </c>
      <c r="D649" t="s">
        <v>163</v>
      </c>
      <c r="E649" t="s">
        <v>56</v>
      </c>
      <c r="G649" t="s">
        <v>176</v>
      </c>
      <c r="H649">
        <v>15</v>
      </c>
      <c r="I649">
        <v>189</v>
      </c>
      <c r="J649" s="5">
        <f t="shared" si="50"/>
        <v>2835</v>
      </c>
      <c r="L649" s="56"/>
    </row>
    <row r="650" spans="2:13" x14ac:dyDescent="0.25">
      <c r="B650" s="1">
        <v>44093</v>
      </c>
      <c r="C650" t="str">
        <f t="shared" si="49"/>
        <v>septiembre</v>
      </c>
      <c r="D650" t="s">
        <v>163</v>
      </c>
      <c r="E650" t="s">
        <v>15</v>
      </c>
      <c r="G650" t="s">
        <v>29</v>
      </c>
      <c r="H650">
        <v>100</v>
      </c>
      <c r="I650">
        <v>212</v>
      </c>
      <c r="J650" s="5">
        <f t="shared" si="50"/>
        <v>21200</v>
      </c>
    </row>
    <row r="651" spans="2:13" x14ac:dyDescent="0.25">
      <c r="B651" s="1">
        <v>44093</v>
      </c>
      <c r="C651" t="str">
        <f t="shared" si="49"/>
        <v>septiembre</v>
      </c>
      <c r="D651" t="s">
        <v>163</v>
      </c>
      <c r="E651" t="s">
        <v>15</v>
      </c>
      <c r="G651" t="s">
        <v>153</v>
      </c>
      <c r="H651">
        <v>5</v>
      </c>
      <c r="I651">
        <v>247</v>
      </c>
      <c r="J651" s="5">
        <f t="shared" si="50"/>
        <v>1235</v>
      </c>
    </row>
    <row r="652" spans="2:13" x14ac:dyDescent="0.25">
      <c r="B652" s="1">
        <v>44100</v>
      </c>
      <c r="C652" t="str">
        <f t="shared" si="49"/>
        <v>septiembre</v>
      </c>
      <c r="D652" t="s">
        <v>163</v>
      </c>
      <c r="E652" t="s">
        <v>15</v>
      </c>
      <c r="G652" t="s">
        <v>80</v>
      </c>
      <c r="H652">
        <v>50</v>
      </c>
      <c r="I652">
        <v>242</v>
      </c>
      <c r="J652" s="5">
        <f t="shared" si="50"/>
        <v>12100</v>
      </c>
    </row>
    <row r="653" spans="2:13" x14ac:dyDescent="0.25">
      <c r="B653" s="1">
        <v>44100</v>
      </c>
      <c r="C653" t="str">
        <f t="shared" si="49"/>
        <v>septiembre</v>
      </c>
      <c r="D653" t="s">
        <v>163</v>
      </c>
      <c r="E653" t="s">
        <v>15</v>
      </c>
      <c r="G653" t="s">
        <v>54</v>
      </c>
      <c r="H653">
        <v>50</v>
      </c>
      <c r="I653">
        <v>242</v>
      </c>
      <c r="J653" s="5">
        <f t="shared" si="50"/>
        <v>12100</v>
      </c>
    </row>
    <row r="654" spans="2:13" x14ac:dyDescent="0.25">
      <c r="B654" s="1">
        <v>44100</v>
      </c>
      <c r="C654" t="str">
        <f t="shared" si="49"/>
        <v>septiembre</v>
      </c>
      <c r="D654" t="s">
        <v>163</v>
      </c>
      <c r="E654" t="s">
        <v>15</v>
      </c>
      <c r="G654" t="s">
        <v>28</v>
      </c>
      <c r="H654">
        <v>50</v>
      </c>
      <c r="I654">
        <v>217</v>
      </c>
      <c r="J654" s="5">
        <f t="shared" si="50"/>
        <v>10850</v>
      </c>
      <c r="L654" s="56"/>
      <c r="M654" s="56"/>
    </row>
    <row r="655" spans="2:13" x14ac:dyDescent="0.25">
      <c r="B655" s="1">
        <v>44100</v>
      </c>
      <c r="C655" t="str">
        <f t="shared" si="49"/>
        <v>septiembre</v>
      </c>
      <c r="D655" t="s">
        <v>163</v>
      </c>
      <c r="E655" t="s">
        <v>15</v>
      </c>
      <c r="G655" t="s">
        <v>20</v>
      </c>
      <c r="H655">
        <v>50</v>
      </c>
      <c r="I655">
        <v>232</v>
      </c>
      <c r="J655" s="5">
        <f t="shared" si="50"/>
        <v>11600</v>
      </c>
    </row>
    <row r="656" spans="2:13" x14ac:dyDescent="0.25">
      <c r="B656" s="1">
        <v>44100</v>
      </c>
      <c r="C656" t="str">
        <f t="shared" si="49"/>
        <v>septiembre</v>
      </c>
      <c r="D656" t="s">
        <v>163</v>
      </c>
      <c r="E656" t="s">
        <v>15</v>
      </c>
      <c r="G656" t="s">
        <v>31</v>
      </c>
      <c r="H656">
        <v>10</v>
      </c>
      <c r="I656">
        <v>248</v>
      </c>
      <c r="J656" s="5">
        <f t="shared" si="50"/>
        <v>2480</v>
      </c>
    </row>
    <row r="657" spans="2:13" hidden="1" x14ac:dyDescent="0.25">
      <c r="B657" s="1">
        <v>44105</v>
      </c>
      <c r="C657" t="str">
        <f t="shared" si="49"/>
        <v>octubre</v>
      </c>
      <c r="D657" t="s">
        <v>163</v>
      </c>
      <c r="E657" t="s">
        <v>56</v>
      </c>
      <c r="G657" t="s">
        <v>267</v>
      </c>
      <c r="H657">
        <v>45</v>
      </c>
      <c r="I657">
        <v>123</v>
      </c>
      <c r="J657" s="5">
        <f t="shared" si="50"/>
        <v>5535</v>
      </c>
    </row>
    <row r="658" spans="2:13" x14ac:dyDescent="0.25">
      <c r="B658" s="1">
        <v>44106</v>
      </c>
      <c r="C658" t="str">
        <f t="shared" si="49"/>
        <v>octubre</v>
      </c>
      <c r="D658" t="s">
        <v>163</v>
      </c>
      <c r="E658" t="s">
        <v>15</v>
      </c>
      <c r="G658" t="s">
        <v>29</v>
      </c>
      <c r="H658">
        <v>100</v>
      </c>
      <c r="I658">
        <v>212</v>
      </c>
      <c r="J658" s="5">
        <f t="shared" si="50"/>
        <v>21200</v>
      </c>
    </row>
    <row r="659" spans="2:13" x14ac:dyDescent="0.25">
      <c r="B659" s="1">
        <v>44106</v>
      </c>
      <c r="C659" t="str">
        <f t="shared" si="49"/>
        <v>octubre</v>
      </c>
      <c r="D659" t="s">
        <v>163</v>
      </c>
      <c r="E659" t="s">
        <v>15</v>
      </c>
      <c r="G659" t="s">
        <v>440</v>
      </c>
      <c r="H659">
        <v>20</v>
      </c>
      <c r="I659">
        <v>248</v>
      </c>
      <c r="J659" s="5">
        <f t="shared" si="50"/>
        <v>4960</v>
      </c>
    </row>
    <row r="660" spans="2:13" x14ac:dyDescent="0.25">
      <c r="B660" s="1">
        <v>44106</v>
      </c>
      <c r="C660" t="str">
        <f t="shared" si="49"/>
        <v>octubre</v>
      </c>
      <c r="D660" t="s">
        <v>163</v>
      </c>
      <c r="E660" t="s">
        <v>15</v>
      </c>
      <c r="G660" t="s">
        <v>29</v>
      </c>
      <c r="H660">
        <v>100</v>
      </c>
      <c r="I660">
        <v>212</v>
      </c>
      <c r="J660" s="5">
        <f t="shared" si="50"/>
        <v>21200</v>
      </c>
    </row>
    <row r="661" spans="2:13" hidden="1" x14ac:dyDescent="0.25">
      <c r="B661" s="1">
        <v>44106</v>
      </c>
      <c r="C661" t="str">
        <f t="shared" si="49"/>
        <v>octubre</v>
      </c>
      <c r="D661" t="s">
        <v>163</v>
      </c>
      <c r="E661" t="s">
        <v>75</v>
      </c>
      <c r="G661" t="s">
        <v>443</v>
      </c>
      <c r="H661">
        <v>30</v>
      </c>
      <c r="I661">
        <v>31</v>
      </c>
      <c r="J661" s="5">
        <f t="shared" si="50"/>
        <v>930</v>
      </c>
    </row>
    <row r="662" spans="2:13" hidden="1" x14ac:dyDescent="0.25">
      <c r="B662" s="1">
        <v>44106</v>
      </c>
      <c r="C662" t="str">
        <f t="shared" si="49"/>
        <v>octubre</v>
      </c>
      <c r="D662" t="s">
        <v>163</v>
      </c>
      <c r="E662" t="s">
        <v>75</v>
      </c>
      <c r="G662" t="s">
        <v>544</v>
      </c>
      <c r="H662">
        <v>20</v>
      </c>
      <c r="I662">
        <v>32</v>
      </c>
      <c r="J662" s="5">
        <f t="shared" si="50"/>
        <v>640</v>
      </c>
      <c r="L662" s="56"/>
      <c r="M662" s="56"/>
    </row>
    <row r="663" spans="2:13" hidden="1" x14ac:dyDescent="0.25">
      <c r="B663" s="1">
        <v>44106</v>
      </c>
      <c r="C663" t="str">
        <f t="shared" si="49"/>
        <v>octubre</v>
      </c>
      <c r="D663" t="s">
        <v>163</v>
      </c>
      <c r="E663" t="s">
        <v>75</v>
      </c>
      <c r="G663" t="s">
        <v>528</v>
      </c>
      <c r="H663">
        <v>10</v>
      </c>
      <c r="I663">
        <v>54</v>
      </c>
      <c r="J663" s="5">
        <f t="shared" si="50"/>
        <v>540</v>
      </c>
    </row>
    <row r="664" spans="2:13" hidden="1" x14ac:dyDescent="0.25">
      <c r="B664" s="1">
        <v>44106</v>
      </c>
      <c r="C664" t="str">
        <f t="shared" si="49"/>
        <v>octubre</v>
      </c>
      <c r="D664" t="s">
        <v>163</v>
      </c>
      <c r="E664" t="s">
        <v>75</v>
      </c>
      <c r="G664" t="s">
        <v>545</v>
      </c>
      <c r="H664">
        <v>10</v>
      </c>
      <c r="I664">
        <v>54</v>
      </c>
      <c r="J664" s="5">
        <f t="shared" si="50"/>
        <v>540</v>
      </c>
    </row>
    <row r="665" spans="2:13" hidden="1" x14ac:dyDescent="0.25">
      <c r="B665" s="1">
        <v>44106</v>
      </c>
      <c r="C665" t="str">
        <f t="shared" si="49"/>
        <v>octubre</v>
      </c>
      <c r="D665" t="s">
        <v>163</v>
      </c>
      <c r="E665" t="s">
        <v>75</v>
      </c>
      <c r="G665" t="s">
        <v>546</v>
      </c>
      <c r="H665">
        <v>30</v>
      </c>
      <c r="I665">
        <v>37</v>
      </c>
      <c r="J665" s="5">
        <f t="shared" si="50"/>
        <v>1110</v>
      </c>
    </row>
    <row r="666" spans="2:13" hidden="1" x14ac:dyDescent="0.25">
      <c r="B666" s="1">
        <v>44106</v>
      </c>
      <c r="C666" t="str">
        <f t="shared" si="49"/>
        <v>octubre</v>
      </c>
      <c r="D666" t="s">
        <v>163</v>
      </c>
      <c r="E666" t="s">
        <v>75</v>
      </c>
      <c r="G666" t="s">
        <v>442</v>
      </c>
      <c r="H666">
        <v>30</v>
      </c>
      <c r="I666">
        <v>27</v>
      </c>
      <c r="J666" s="5">
        <f t="shared" si="50"/>
        <v>810</v>
      </c>
    </row>
    <row r="667" spans="2:13" hidden="1" x14ac:dyDescent="0.25">
      <c r="B667" s="1">
        <v>44106</v>
      </c>
      <c r="C667" t="str">
        <f t="shared" si="49"/>
        <v>octubre</v>
      </c>
      <c r="D667" t="s">
        <v>163</v>
      </c>
      <c r="E667" t="s">
        <v>55</v>
      </c>
      <c r="G667" t="s">
        <v>547</v>
      </c>
      <c r="H667">
        <v>1</v>
      </c>
      <c r="I667">
        <v>1109</v>
      </c>
      <c r="J667" s="5">
        <f t="shared" si="50"/>
        <v>1109</v>
      </c>
    </row>
    <row r="668" spans="2:13" x14ac:dyDescent="0.25">
      <c r="B668" s="1">
        <v>44107</v>
      </c>
      <c r="C668" t="str">
        <f t="shared" si="49"/>
        <v>octubre</v>
      </c>
      <c r="D668" t="s">
        <v>163</v>
      </c>
      <c r="E668" t="s">
        <v>15</v>
      </c>
      <c r="G668" t="s">
        <v>440</v>
      </c>
      <c r="H668">
        <v>11</v>
      </c>
      <c r="I668">
        <v>248</v>
      </c>
      <c r="J668" s="5">
        <f t="shared" si="50"/>
        <v>2728</v>
      </c>
    </row>
    <row r="669" spans="2:13" x14ac:dyDescent="0.25">
      <c r="B669" s="1">
        <v>44114</v>
      </c>
      <c r="C669" t="str">
        <f t="shared" si="49"/>
        <v>octubre</v>
      </c>
      <c r="D669" t="s">
        <v>163</v>
      </c>
      <c r="E669" t="s">
        <v>15</v>
      </c>
      <c r="G669" t="s">
        <v>20</v>
      </c>
      <c r="H669">
        <v>50</v>
      </c>
      <c r="I669">
        <v>232</v>
      </c>
      <c r="J669" s="5">
        <f t="shared" si="50"/>
        <v>11600</v>
      </c>
    </row>
    <row r="670" spans="2:13" x14ac:dyDescent="0.25">
      <c r="B670" s="1">
        <v>44114</v>
      </c>
      <c r="C670" t="str">
        <f t="shared" si="49"/>
        <v>octubre</v>
      </c>
      <c r="D670" t="s">
        <v>163</v>
      </c>
      <c r="E670" t="s">
        <v>15</v>
      </c>
      <c r="G670" t="s">
        <v>80</v>
      </c>
      <c r="H670">
        <v>50</v>
      </c>
      <c r="I670">
        <v>242</v>
      </c>
      <c r="J670" s="5">
        <f t="shared" si="50"/>
        <v>12100</v>
      </c>
    </row>
    <row r="671" spans="2:13" x14ac:dyDescent="0.25">
      <c r="B671" s="1">
        <v>44114</v>
      </c>
      <c r="C671" t="str">
        <f t="shared" si="49"/>
        <v>octubre</v>
      </c>
      <c r="D671" t="s">
        <v>163</v>
      </c>
      <c r="E671" t="s">
        <v>15</v>
      </c>
      <c r="G671" t="s">
        <v>504</v>
      </c>
      <c r="H671">
        <v>18</v>
      </c>
      <c r="I671">
        <v>248</v>
      </c>
      <c r="J671" s="5">
        <f t="shared" si="50"/>
        <v>4464</v>
      </c>
      <c r="L671" s="56"/>
      <c r="M671" s="56"/>
    </row>
    <row r="672" spans="2:13" hidden="1" x14ac:dyDescent="0.25">
      <c r="B672" s="1">
        <v>44114</v>
      </c>
      <c r="C672" t="str">
        <f t="shared" si="49"/>
        <v>octubre</v>
      </c>
      <c r="D672" t="s">
        <v>163</v>
      </c>
      <c r="E672" t="s">
        <v>56</v>
      </c>
      <c r="G672" t="s">
        <v>267</v>
      </c>
      <c r="H672">
        <v>60</v>
      </c>
      <c r="I672">
        <v>125</v>
      </c>
      <c r="J672" s="5">
        <f t="shared" si="50"/>
        <v>7500</v>
      </c>
    </row>
    <row r="673" spans="2:13" x14ac:dyDescent="0.25">
      <c r="B673" s="1">
        <v>44114</v>
      </c>
      <c r="C673" t="str">
        <f t="shared" si="49"/>
        <v>octubre</v>
      </c>
      <c r="D673" t="s">
        <v>163</v>
      </c>
      <c r="E673" t="s">
        <v>15</v>
      </c>
      <c r="G673" t="s">
        <v>32</v>
      </c>
      <c r="H673">
        <v>10</v>
      </c>
      <c r="I673">
        <v>248</v>
      </c>
      <c r="J673" s="5">
        <f t="shared" si="50"/>
        <v>2480</v>
      </c>
    </row>
    <row r="674" spans="2:13" x14ac:dyDescent="0.25">
      <c r="B674" s="1">
        <v>44114</v>
      </c>
      <c r="C674" t="str">
        <f t="shared" si="49"/>
        <v>octubre</v>
      </c>
      <c r="D674" t="s">
        <v>163</v>
      </c>
      <c r="E674" t="s">
        <v>15</v>
      </c>
      <c r="G674" t="s">
        <v>31</v>
      </c>
      <c r="H674">
        <v>5</v>
      </c>
      <c r="I674">
        <v>248</v>
      </c>
      <c r="J674" s="5">
        <f t="shared" si="50"/>
        <v>1240</v>
      </c>
    </row>
    <row r="675" spans="2:13" x14ac:dyDescent="0.25">
      <c r="B675" s="1">
        <v>44114</v>
      </c>
      <c r="C675" t="str">
        <f t="shared" si="49"/>
        <v>octubre</v>
      </c>
      <c r="D675" t="s">
        <v>163</v>
      </c>
      <c r="E675" t="s">
        <v>15</v>
      </c>
      <c r="G675" t="s">
        <v>440</v>
      </c>
      <c r="H675">
        <v>2</v>
      </c>
      <c r="I675">
        <v>248</v>
      </c>
      <c r="J675" s="5">
        <f t="shared" si="50"/>
        <v>496</v>
      </c>
    </row>
    <row r="676" spans="2:13" x14ac:dyDescent="0.25">
      <c r="B676" s="1">
        <v>44114</v>
      </c>
      <c r="C676" t="str">
        <f t="shared" si="49"/>
        <v>octubre</v>
      </c>
      <c r="D676" t="s">
        <v>163</v>
      </c>
      <c r="E676" t="s">
        <v>15</v>
      </c>
      <c r="G676" t="s">
        <v>513</v>
      </c>
      <c r="H676">
        <v>4</v>
      </c>
      <c r="I676">
        <v>295</v>
      </c>
      <c r="J676" s="5">
        <f t="shared" si="50"/>
        <v>1180</v>
      </c>
    </row>
    <row r="677" spans="2:13" hidden="1" x14ac:dyDescent="0.25">
      <c r="B677" s="1">
        <v>44114</v>
      </c>
      <c r="C677" t="str">
        <f t="shared" si="49"/>
        <v>octubre</v>
      </c>
      <c r="D677" t="s">
        <v>163</v>
      </c>
      <c r="E677" t="s">
        <v>75</v>
      </c>
      <c r="G677" t="s">
        <v>544</v>
      </c>
      <c r="H677">
        <v>20</v>
      </c>
      <c r="I677">
        <v>32</v>
      </c>
      <c r="J677" s="5">
        <f t="shared" si="50"/>
        <v>640</v>
      </c>
      <c r="L677" s="56"/>
      <c r="M677" s="56"/>
    </row>
    <row r="678" spans="2:13" x14ac:dyDescent="0.25">
      <c r="B678" s="1">
        <v>44114</v>
      </c>
      <c r="C678" t="str">
        <f t="shared" si="49"/>
        <v>octubre</v>
      </c>
      <c r="D678" t="s">
        <v>163</v>
      </c>
      <c r="E678" t="s">
        <v>15</v>
      </c>
      <c r="G678" t="s">
        <v>29</v>
      </c>
      <c r="H678">
        <v>90</v>
      </c>
      <c r="I678">
        <v>212</v>
      </c>
      <c r="J678" s="5">
        <f t="shared" si="50"/>
        <v>19080</v>
      </c>
    </row>
    <row r="679" spans="2:13" x14ac:dyDescent="0.25">
      <c r="B679" s="1">
        <v>44114</v>
      </c>
      <c r="C679" t="str">
        <f t="shared" si="49"/>
        <v>octubre</v>
      </c>
      <c r="D679" t="s">
        <v>163</v>
      </c>
      <c r="E679" t="s">
        <v>15</v>
      </c>
      <c r="G679" t="s">
        <v>548</v>
      </c>
      <c r="H679">
        <v>10</v>
      </c>
      <c r="I679">
        <v>226</v>
      </c>
      <c r="J679" s="5">
        <f t="shared" si="50"/>
        <v>2260</v>
      </c>
    </row>
    <row r="680" spans="2:13" x14ac:dyDescent="0.25">
      <c r="B680" s="1">
        <v>44114</v>
      </c>
      <c r="C680" t="str">
        <f t="shared" si="49"/>
        <v>octubre</v>
      </c>
      <c r="D680" t="s">
        <v>163</v>
      </c>
      <c r="E680" t="s">
        <v>15</v>
      </c>
      <c r="G680" t="s">
        <v>20</v>
      </c>
      <c r="H680">
        <v>70</v>
      </c>
      <c r="I680">
        <v>232</v>
      </c>
      <c r="J680" s="5">
        <f t="shared" si="50"/>
        <v>16240</v>
      </c>
    </row>
    <row r="681" spans="2:13" hidden="1" x14ac:dyDescent="0.25">
      <c r="B681" s="1">
        <v>44121</v>
      </c>
      <c r="C681" t="str">
        <f t="shared" si="49"/>
        <v>octubre</v>
      </c>
      <c r="D681" t="s">
        <v>163</v>
      </c>
      <c r="E681" t="s">
        <v>75</v>
      </c>
      <c r="G681" t="s">
        <v>544</v>
      </c>
      <c r="H681">
        <v>20</v>
      </c>
      <c r="I681">
        <v>32</v>
      </c>
      <c r="J681" s="5">
        <f t="shared" si="50"/>
        <v>640</v>
      </c>
      <c r="L681" s="56"/>
      <c r="M681" s="56"/>
    </row>
    <row r="682" spans="2:13" x14ac:dyDescent="0.25">
      <c r="B682" s="1">
        <v>44121</v>
      </c>
      <c r="C682" t="str">
        <f t="shared" si="49"/>
        <v>octubre</v>
      </c>
      <c r="D682" t="s">
        <v>163</v>
      </c>
      <c r="E682" t="s">
        <v>15</v>
      </c>
      <c r="G682" t="s">
        <v>504</v>
      </c>
      <c r="H682">
        <v>15</v>
      </c>
      <c r="I682">
        <v>248</v>
      </c>
      <c r="J682" s="5">
        <f t="shared" si="50"/>
        <v>3720</v>
      </c>
      <c r="L682" s="56"/>
      <c r="M682" s="56"/>
    </row>
    <row r="683" spans="2:13" x14ac:dyDescent="0.25">
      <c r="B683" s="1">
        <v>44121</v>
      </c>
      <c r="C683" t="str">
        <f t="shared" si="49"/>
        <v>octubre</v>
      </c>
      <c r="D683" t="s">
        <v>163</v>
      </c>
      <c r="E683" t="s">
        <v>15</v>
      </c>
      <c r="G683" t="s">
        <v>29</v>
      </c>
      <c r="H683">
        <v>100</v>
      </c>
      <c r="I683">
        <v>212</v>
      </c>
      <c r="J683" s="5">
        <f t="shared" si="50"/>
        <v>21200</v>
      </c>
    </row>
    <row r="684" spans="2:13" hidden="1" x14ac:dyDescent="0.25">
      <c r="B684" s="1">
        <v>44121</v>
      </c>
      <c r="C684" t="str">
        <f t="shared" si="49"/>
        <v>octubre</v>
      </c>
      <c r="D684" t="s">
        <v>163</v>
      </c>
      <c r="E684" t="s">
        <v>56</v>
      </c>
      <c r="G684" t="s">
        <v>267</v>
      </c>
      <c r="H684">
        <v>52</v>
      </c>
      <c r="I684">
        <v>124</v>
      </c>
      <c r="J684" s="5">
        <f t="shared" si="50"/>
        <v>6448</v>
      </c>
    </row>
    <row r="685" spans="2:13" hidden="1" x14ac:dyDescent="0.25">
      <c r="B685" s="1">
        <v>44121</v>
      </c>
      <c r="C685" t="str">
        <f t="shared" si="49"/>
        <v>octubre</v>
      </c>
      <c r="D685" t="s">
        <v>163</v>
      </c>
      <c r="E685" t="s">
        <v>55</v>
      </c>
      <c r="G685" t="s">
        <v>514</v>
      </c>
      <c r="H685">
        <v>2</v>
      </c>
      <c r="I685">
        <v>279</v>
      </c>
      <c r="J685" s="5">
        <f t="shared" si="50"/>
        <v>558</v>
      </c>
    </row>
    <row r="686" spans="2:13" x14ac:dyDescent="0.25">
      <c r="B686" s="1">
        <v>44121</v>
      </c>
      <c r="C686" t="str">
        <f t="shared" si="49"/>
        <v>octubre</v>
      </c>
      <c r="D686" t="s">
        <v>163</v>
      </c>
      <c r="E686" t="s">
        <v>15</v>
      </c>
      <c r="G686" t="s">
        <v>32</v>
      </c>
      <c r="H686">
        <v>10</v>
      </c>
      <c r="I686">
        <v>248</v>
      </c>
      <c r="J686" s="5">
        <f t="shared" si="50"/>
        <v>2480</v>
      </c>
    </row>
    <row r="687" spans="2:13" x14ac:dyDescent="0.25">
      <c r="B687" s="1">
        <v>44121</v>
      </c>
      <c r="C687" t="str">
        <f t="shared" si="49"/>
        <v>octubre</v>
      </c>
      <c r="D687" t="s">
        <v>163</v>
      </c>
      <c r="E687" t="s">
        <v>15</v>
      </c>
      <c r="G687" t="s">
        <v>29</v>
      </c>
      <c r="H687">
        <v>50</v>
      </c>
      <c r="I687">
        <v>212</v>
      </c>
      <c r="J687" s="5">
        <f t="shared" si="50"/>
        <v>10600</v>
      </c>
    </row>
    <row r="688" spans="2:13" x14ac:dyDescent="0.25">
      <c r="B688" s="1">
        <v>44122</v>
      </c>
      <c r="C688" t="str">
        <f t="shared" si="49"/>
        <v>octubre</v>
      </c>
      <c r="D688" t="s">
        <v>163</v>
      </c>
      <c r="E688" t="s">
        <v>15</v>
      </c>
      <c r="G688" t="s">
        <v>504</v>
      </c>
      <c r="H688">
        <v>10</v>
      </c>
      <c r="I688">
        <v>248</v>
      </c>
      <c r="J688" s="5">
        <f t="shared" si="50"/>
        <v>2480</v>
      </c>
      <c r="L688" s="56"/>
      <c r="M688" s="56"/>
    </row>
    <row r="689" spans="2:13" hidden="1" x14ac:dyDescent="0.25">
      <c r="B689" s="1">
        <v>44128</v>
      </c>
      <c r="C689" t="str">
        <f t="shared" si="49"/>
        <v>octubre</v>
      </c>
      <c r="D689" t="s">
        <v>163</v>
      </c>
      <c r="E689" t="s">
        <v>55</v>
      </c>
      <c r="G689" t="s">
        <v>549</v>
      </c>
      <c r="H689">
        <v>13</v>
      </c>
      <c r="I689">
        <v>272</v>
      </c>
      <c r="J689" s="5">
        <f t="shared" si="50"/>
        <v>3536</v>
      </c>
      <c r="L689" s="56"/>
      <c r="M689" s="56"/>
    </row>
    <row r="690" spans="2:13" x14ac:dyDescent="0.25">
      <c r="B690" s="1">
        <v>44128</v>
      </c>
      <c r="C690" t="str">
        <f t="shared" si="49"/>
        <v>octubre</v>
      </c>
      <c r="D690" t="s">
        <v>163</v>
      </c>
      <c r="E690" t="s">
        <v>15</v>
      </c>
      <c r="G690" t="s">
        <v>550</v>
      </c>
      <c r="H690">
        <v>20</v>
      </c>
      <c r="I690">
        <v>222</v>
      </c>
      <c r="J690" s="5">
        <f t="shared" si="50"/>
        <v>4440</v>
      </c>
    </row>
    <row r="691" spans="2:13" x14ac:dyDescent="0.25">
      <c r="B691" s="1">
        <v>44135</v>
      </c>
      <c r="C691" t="str">
        <f t="shared" si="49"/>
        <v>octubre</v>
      </c>
      <c r="D691" t="s">
        <v>163</v>
      </c>
      <c r="E691" t="s">
        <v>15</v>
      </c>
      <c r="G691" t="s">
        <v>29</v>
      </c>
      <c r="H691">
        <v>150</v>
      </c>
      <c r="I691">
        <v>212</v>
      </c>
      <c r="J691" s="5">
        <f t="shared" si="50"/>
        <v>31800</v>
      </c>
    </row>
    <row r="692" spans="2:13" hidden="1" x14ac:dyDescent="0.25">
      <c r="B692" s="1">
        <v>44135</v>
      </c>
      <c r="C692" t="str">
        <f t="shared" si="49"/>
        <v>octubre</v>
      </c>
      <c r="D692" t="s">
        <v>163</v>
      </c>
      <c r="E692" t="s">
        <v>70</v>
      </c>
      <c r="G692" t="s">
        <v>551</v>
      </c>
      <c r="H692">
        <v>1</v>
      </c>
      <c r="I692">
        <v>3852</v>
      </c>
      <c r="J692" s="5">
        <f t="shared" si="50"/>
        <v>3852</v>
      </c>
    </row>
    <row r="693" spans="2:13" hidden="1" x14ac:dyDescent="0.25">
      <c r="B693" s="1">
        <v>44135</v>
      </c>
      <c r="C693" t="str">
        <f t="shared" si="49"/>
        <v>octubre</v>
      </c>
      <c r="D693" t="s">
        <v>163</v>
      </c>
      <c r="E693" t="s">
        <v>55</v>
      </c>
      <c r="G693" t="s">
        <v>549</v>
      </c>
      <c r="H693">
        <v>20</v>
      </c>
      <c r="I693">
        <v>272</v>
      </c>
      <c r="J693" s="5">
        <f t="shared" si="50"/>
        <v>5440</v>
      </c>
      <c r="L693" s="56"/>
      <c r="M693" s="56"/>
    </row>
    <row r="694" spans="2:13" hidden="1" x14ac:dyDescent="0.25">
      <c r="B694" s="1">
        <v>44135</v>
      </c>
      <c r="C694" t="str">
        <f t="shared" si="49"/>
        <v>octubre</v>
      </c>
      <c r="D694" t="s">
        <v>163</v>
      </c>
      <c r="E694" t="s">
        <v>56</v>
      </c>
      <c r="G694" t="s">
        <v>267</v>
      </c>
      <c r="H694">
        <v>52</v>
      </c>
      <c r="I694">
        <v>124</v>
      </c>
      <c r="J694" s="5">
        <f t="shared" si="50"/>
        <v>6448</v>
      </c>
    </row>
    <row r="695" spans="2:13" hidden="1" x14ac:dyDescent="0.25">
      <c r="B695" s="1">
        <v>44135</v>
      </c>
      <c r="C695" t="str">
        <f t="shared" si="49"/>
        <v>octubre</v>
      </c>
      <c r="D695" t="s">
        <v>163</v>
      </c>
      <c r="E695" t="s">
        <v>56</v>
      </c>
      <c r="G695" t="s">
        <v>176</v>
      </c>
      <c r="H695">
        <v>26</v>
      </c>
      <c r="I695">
        <v>190</v>
      </c>
      <c r="J695" s="5">
        <f t="shared" si="50"/>
        <v>4940</v>
      </c>
      <c r="L695" s="56"/>
    </row>
    <row r="696" spans="2:13" hidden="1" x14ac:dyDescent="0.25">
      <c r="B696" s="1">
        <v>44135</v>
      </c>
      <c r="C696" t="str">
        <f t="shared" si="49"/>
        <v>octubre</v>
      </c>
      <c r="D696" t="s">
        <v>163</v>
      </c>
      <c r="E696" t="s">
        <v>56</v>
      </c>
      <c r="G696" t="s">
        <v>176</v>
      </c>
      <c r="H696">
        <v>52</v>
      </c>
      <c r="I696">
        <v>190</v>
      </c>
      <c r="J696" s="5">
        <f t="shared" si="50"/>
        <v>9880</v>
      </c>
      <c r="L696" s="56"/>
    </row>
    <row r="697" spans="2:13" x14ac:dyDescent="0.25">
      <c r="B697" s="1">
        <v>44136</v>
      </c>
      <c r="C697" t="str">
        <f t="shared" si="49"/>
        <v>noviembre</v>
      </c>
      <c r="D697" t="s">
        <v>163</v>
      </c>
      <c r="E697" t="s">
        <v>15</v>
      </c>
      <c r="G697" t="s">
        <v>550</v>
      </c>
      <c r="H697">
        <v>21</v>
      </c>
      <c r="I697">
        <v>222</v>
      </c>
      <c r="J697" s="5">
        <f t="shared" si="50"/>
        <v>4662</v>
      </c>
    </row>
    <row r="698" spans="2:13" hidden="1" x14ac:dyDescent="0.25">
      <c r="B698" s="1">
        <v>43875</v>
      </c>
      <c r="C698" t="str">
        <f t="shared" si="49"/>
        <v>febrero</v>
      </c>
      <c r="D698" t="s">
        <v>166</v>
      </c>
      <c r="E698" t="s">
        <v>92</v>
      </c>
      <c r="G698" t="s">
        <v>250</v>
      </c>
      <c r="H698">
        <v>12</v>
      </c>
      <c r="I698">
        <v>125</v>
      </c>
      <c r="J698" s="5">
        <f t="shared" si="50"/>
        <v>1500</v>
      </c>
    </row>
    <row r="699" spans="2:13" hidden="1" x14ac:dyDescent="0.25">
      <c r="B699" s="1">
        <v>43875</v>
      </c>
      <c r="C699" t="str">
        <f t="shared" si="49"/>
        <v>febrero</v>
      </c>
      <c r="D699" t="s">
        <v>166</v>
      </c>
      <c r="E699" t="s">
        <v>78</v>
      </c>
      <c r="G699" t="s">
        <v>178</v>
      </c>
      <c r="H699">
        <v>3</v>
      </c>
      <c r="I699">
        <v>67</v>
      </c>
      <c r="J699" s="5">
        <f t="shared" si="50"/>
        <v>201</v>
      </c>
    </row>
    <row r="700" spans="2:13" hidden="1" x14ac:dyDescent="0.25">
      <c r="B700" s="1">
        <v>43875</v>
      </c>
      <c r="C700" t="str">
        <f t="shared" si="49"/>
        <v>febrero</v>
      </c>
      <c r="D700" t="s">
        <v>166</v>
      </c>
      <c r="E700" t="s">
        <v>78</v>
      </c>
      <c r="G700" t="s">
        <v>552</v>
      </c>
      <c r="H700">
        <v>1</v>
      </c>
      <c r="I700">
        <v>441</v>
      </c>
      <c r="J700" s="5">
        <f t="shared" si="50"/>
        <v>441</v>
      </c>
    </row>
    <row r="701" spans="2:13" hidden="1" x14ac:dyDescent="0.25">
      <c r="B701" s="1">
        <v>43875</v>
      </c>
      <c r="C701" t="str">
        <f t="shared" si="49"/>
        <v>febrero</v>
      </c>
      <c r="D701" t="s">
        <v>166</v>
      </c>
      <c r="E701" t="s">
        <v>78</v>
      </c>
      <c r="G701" t="s">
        <v>553</v>
      </c>
      <c r="H701">
        <v>3</v>
      </c>
      <c r="I701">
        <v>48</v>
      </c>
      <c r="J701" s="5">
        <f t="shared" si="50"/>
        <v>144</v>
      </c>
    </row>
    <row r="702" spans="2:13" hidden="1" x14ac:dyDescent="0.25">
      <c r="B702" s="1">
        <v>43875</v>
      </c>
      <c r="C702" t="str">
        <f t="shared" si="49"/>
        <v>febrero</v>
      </c>
      <c r="D702" t="s">
        <v>166</v>
      </c>
      <c r="E702" t="s">
        <v>78</v>
      </c>
      <c r="G702" t="s">
        <v>555</v>
      </c>
      <c r="H702">
        <v>3</v>
      </c>
      <c r="I702">
        <v>29</v>
      </c>
      <c r="J702" s="5">
        <f t="shared" si="50"/>
        <v>87</v>
      </c>
    </row>
    <row r="703" spans="2:13" hidden="1" x14ac:dyDescent="0.25">
      <c r="B703" s="1">
        <v>43875</v>
      </c>
      <c r="C703" t="str">
        <f t="shared" si="49"/>
        <v>febrero</v>
      </c>
      <c r="D703" t="s">
        <v>166</v>
      </c>
      <c r="E703" t="s">
        <v>85</v>
      </c>
      <c r="G703" t="s">
        <v>554</v>
      </c>
      <c r="H703">
        <v>10</v>
      </c>
      <c r="I703">
        <v>34</v>
      </c>
      <c r="J703" s="5">
        <f t="shared" si="50"/>
        <v>340</v>
      </c>
    </row>
    <row r="704" spans="2:13" hidden="1" x14ac:dyDescent="0.25">
      <c r="B704" s="1">
        <v>43875</v>
      </c>
      <c r="C704" t="str">
        <f t="shared" si="49"/>
        <v>febrero</v>
      </c>
      <c r="D704" t="s">
        <v>166</v>
      </c>
      <c r="E704" t="s">
        <v>92</v>
      </c>
      <c r="G704" t="s">
        <v>363</v>
      </c>
      <c r="H704">
        <v>3</v>
      </c>
      <c r="I704">
        <v>35</v>
      </c>
      <c r="J704" s="5">
        <f t="shared" si="50"/>
        <v>105</v>
      </c>
    </row>
    <row r="705" spans="2:12" hidden="1" x14ac:dyDescent="0.25">
      <c r="B705" s="1">
        <v>43875</v>
      </c>
      <c r="C705" t="str">
        <f t="shared" si="49"/>
        <v>febrero</v>
      </c>
      <c r="D705" t="s">
        <v>166</v>
      </c>
      <c r="E705" t="s">
        <v>85</v>
      </c>
      <c r="G705" t="s">
        <v>556</v>
      </c>
      <c r="H705">
        <v>5</v>
      </c>
      <c r="I705">
        <v>80</v>
      </c>
      <c r="J705" s="5">
        <f t="shared" si="50"/>
        <v>400</v>
      </c>
    </row>
    <row r="706" spans="2:12" hidden="1" x14ac:dyDescent="0.25">
      <c r="B706" s="1">
        <v>43875</v>
      </c>
      <c r="C706" t="str">
        <f t="shared" ref="C706:C769" si="51">+TEXT(B706,"mmmm")</f>
        <v>febrero</v>
      </c>
      <c r="D706" t="s">
        <v>166</v>
      </c>
      <c r="E706" t="s">
        <v>85</v>
      </c>
      <c r="G706" t="s">
        <v>557</v>
      </c>
      <c r="H706">
        <v>6</v>
      </c>
      <c r="I706">
        <v>45</v>
      </c>
      <c r="J706" s="5">
        <f t="shared" ref="J706:J769" si="52">+H706*I706</f>
        <v>270</v>
      </c>
    </row>
    <row r="707" spans="2:12" hidden="1" x14ac:dyDescent="0.25">
      <c r="B707" s="1">
        <v>43875</v>
      </c>
      <c r="C707" t="str">
        <f t="shared" si="51"/>
        <v>febrero</v>
      </c>
      <c r="D707" t="s">
        <v>166</v>
      </c>
      <c r="E707" t="s">
        <v>23</v>
      </c>
      <c r="G707" t="s">
        <v>558</v>
      </c>
      <c r="H707">
        <v>1</v>
      </c>
      <c r="I707">
        <v>37</v>
      </c>
      <c r="J707" s="5">
        <f t="shared" si="52"/>
        <v>37</v>
      </c>
    </row>
    <row r="708" spans="2:12" hidden="1" x14ac:dyDescent="0.25">
      <c r="B708" s="1">
        <v>43875</v>
      </c>
      <c r="C708" t="str">
        <f t="shared" si="51"/>
        <v>febrero</v>
      </c>
      <c r="D708" t="s">
        <v>166</v>
      </c>
      <c r="E708" t="s">
        <v>23</v>
      </c>
      <c r="G708" t="s">
        <v>559</v>
      </c>
      <c r="H708">
        <v>2</v>
      </c>
      <c r="I708">
        <v>59</v>
      </c>
      <c r="J708" s="5">
        <f t="shared" si="52"/>
        <v>118</v>
      </c>
    </row>
    <row r="709" spans="2:12" hidden="1" x14ac:dyDescent="0.25">
      <c r="B709" s="1">
        <v>43888</v>
      </c>
      <c r="C709" t="str">
        <f t="shared" si="51"/>
        <v>febrero</v>
      </c>
      <c r="D709" t="s">
        <v>166</v>
      </c>
      <c r="E709" t="s">
        <v>78</v>
      </c>
      <c r="G709" t="s">
        <v>560</v>
      </c>
      <c r="H709">
        <v>3</v>
      </c>
      <c r="I709">
        <v>503</v>
      </c>
      <c r="J709" s="5">
        <f t="shared" si="52"/>
        <v>1509</v>
      </c>
    </row>
    <row r="710" spans="2:12" hidden="1" x14ac:dyDescent="0.25">
      <c r="B710" s="1">
        <v>43888</v>
      </c>
      <c r="C710" t="str">
        <f t="shared" si="51"/>
        <v>febrero</v>
      </c>
      <c r="D710" t="s">
        <v>166</v>
      </c>
      <c r="E710" t="s">
        <v>92</v>
      </c>
      <c r="G710" t="s">
        <v>561</v>
      </c>
      <c r="H710">
        <v>4</v>
      </c>
      <c r="I710">
        <v>166</v>
      </c>
      <c r="J710" s="5">
        <f t="shared" si="52"/>
        <v>664</v>
      </c>
    </row>
    <row r="711" spans="2:12" hidden="1" x14ac:dyDescent="0.25">
      <c r="B711" s="1">
        <v>43888</v>
      </c>
      <c r="C711" t="str">
        <f t="shared" si="51"/>
        <v>febrero</v>
      </c>
      <c r="D711" t="s">
        <v>166</v>
      </c>
      <c r="E711" t="s">
        <v>92</v>
      </c>
      <c r="G711" t="s">
        <v>562</v>
      </c>
      <c r="H711">
        <v>5</v>
      </c>
      <c r="I711">
        <v>255</v>
      </c>
      <c r="J711" s="5">
        <f t="shared" si="52"/>
        <v>1275</v>
      </c>
    </row>
    <row r="712" spans="2:12" hidden="1" x14ac:dyDescent="0.25">
      <c r="B712" s="1">
        <v>43944</v>
      </c>
      <c r="C712" t="str">
        <f t="shared" si="51"/>
        <v>abril</v>
      </c>
      <c r="D712" t="s">
        <v>166</v>
      </c>
      <c r="E712" t="s">
        <v>44</v>
      </c>
      <c r="G712" t="s">
        <v>226</v>
      </c>
      <c r="H712">
        <v>20</v>
      </c>
      <c r="I712">
        <v>20</v>
      </c>
      <c r="J712" s="5">
        <f t="shared" si="52"/>
        <v>400</v>
      </c>
    </row>
    <row r="713" spans="2:12" hidden="1" x14ac:dyDescent="0.25">
      <c r="B713" s="1">
        <v>43944</v>
      </c>
      <c r="C713" t="str">
        <f t="shared" si="51"/>
        <v>abril</v>
      </c>
      <c r="D713" t="s">
        <v>166</v>
      </c>
      <c r="E713" t="s">
        <v>85</v>
      </c>
      <c r="G713" t="s">
        <v>556</v>
      </c>
      <c r="H713">
        <v>6</v>
      </c>
      <c r="I713">
        <v>82</v>
      </c>
      <c r="J713" s="5">
        <f t="shared" si="52"/>
        <v>492</v>
      </c>
    </row>
    <row r="714" spans="2:12" hidden="1" x14ac:dyDescent="0.25">
      <c r="B714" s="1">
        <v>43944</v>
      </c>
      <c r="C714" t="str">
        <f t="shared" si="51"/>
        <v>abril</v>
      </c>
      <c r="D714" t="s">
        <v>166</v>
      </c>
      <c r="E714" t="s">
        <v>78</v>
      </c>
      <c r="G714" t="s">
        <v>563</v>
      </c>
      <c r="H714">
        <v>3</v>
      </c>
      <c r="I714">
        <v>434</v>
      </c>
      <c r="J714" s="5">
        <f t="shared" si="52"/>
        <v>1302</v>
      </c>
    </row>
    <row r="715" spans="2:12" hidden="1" x14ac:dyDescent="0.25">
      <c r="B715" s="1">
        <v>43944</v>
      </c>
      <c r="C715" t="str">
        <f t="shared" si="51"/>
        <v>abril</v>
      </c>
      <c r="D715" t="s">
        <v>166</v>
      </c>
      <c r="E715" t="s">
        <v>23</v>
      </c>
      <c r="G715" t="s">
        <v>564</v>
      </c>
      <c r="H715">
        <v>4</v>
      </c>
      <c r="I715">
        <v>30</v>
      </c>
      <c r="J715" s="5">
        <f t="shared" si="52"/>
        <v>120</v>
      </c>
      <c r="L715" s="56"/>
    </row>
    <row r="716" spans="2:12" hidden="1" x14ac:dyDescent="0.25">
      <c r="B716" s="1">
        <v>43944</v>
      </c>
      <c r="C716" t="str">
        <f t="shared" si="51"/>
        <v>abril</v>
      </c>
      <c r="D716" t="s">
        <v>166</v>
      </c>
      <c r="E716" t="s">
        <v>23</v>
      </c>
      <c r="G716" t="s">
        <v>565</v>
      </c>
      <c r="H716">
        <v>2</v>
      </c>
      <c r="I716">
        <v>22</v>
      </c>
      <c r="J716" s="5">
        <f t="shared" si="52"/>
        <v>44</v>
      </c>
      <c r="L716" s="56"/>
    </row>
    <row r="717" spans="2:12" hidden="1" x14ac:dyDescent="0.25">
      <c r="B717" s="1">
        <v>43944</v>
      </c>
      <c r="C717" t="str">
        <f t="shared" si="51"/>
        <v>abril</v>
      </c>
      <c r="D717" t="s">
        <v>166</v>
      </c>
      <c r="E717" t="s">
        <v>23</v>
      </c>
      <c r="G717" t="s">
        <v>566</v>
      </c>
      <c r="H717">
        <v>2</v>
      </c>
      <c r="I717">
        <v>9</v>
      </c>
      <c r="J717" s="5">
        <f t="shared" si="52"/>
        <v>18</v>
      </c>
      <c r="L717" s="56"/>
    </row>
    <row r="718" spans="2:12" hidden="1" x14ac:dyDescent="0.25">
      <c r="B718" s="1">
        <v>43944</v>
      </c>
      <c r="C718" t="str">
        <f t="shared" si="51"/>
        <v>abril</v>
      </c>
      <c r="D718" t="s">
        <v>166</v>
      </c>
      <c r="E718" t="s">
        <v>85</v>
      </c>
      <c r="G718" t="s">
        <v>557</v>
      </c>
      <c r="H718">
        <v>10</v>
      </c>
      <c r="I718">
        <v>45</v>
      </c>
      <c r="J718" s="5">
        <f t="shared" si="52"/>
        <v>450</v>
      </c>
    </row>
    <row r="719" spans="2:12" hidden="1" x14ac:dyDescent="0.25">
      <c r="B719" s="1">
        <v>44014</v>
      </c>
      <c r="C719" t="str">
        <f t="shared" si="51"/>
        <v>julio</v>
      </c>
      <c r="D719" t="s">
        <v>166</v>
      </c>
      <c r="E719" t="s">
        <v>92</v>
      </c>
      <c r="G719" t="s">
        <v>250</v>
      </c>
      <c r="H719">
        <v>24</v>
      </c>
      <c r="I719">
        <v>138</v>
      </c>
      <c r="J719" s="5">
        <f t="shared" si="52"/>
        <v>3312</v>
      </c>
    </row>
    <row r="720" spans="2:12" hidden="1" x14ac:dyDescent="0.25">
      <c r="B720" s="1">
        <v>44070</v>
      </c>
      <c r="C720" t="str">
        <f t="shared" si="51"/>
        <v>agosto</v>
      </c>
      <c r="D720" t="s">
        <v>166</v>
      </c>
      <c r="E720" t="s">
        <v>78</v>
      </c>
      <c r="G720" t="s">
        <v>563</v>
      </c>
      <c r="H720">
        <v>5</v>
      </c>
      <c r="I720">
        <v>435</v>
      </c>
      <c r="J720" s="5">
        <f t="shared" si="52"/>
        <v>2175</v>
      </c>
    </row>
    <row r="721" spans="2:13" hidden="1" x14ac:dyDescent="0.25">
      <c r="B721" s="1">
        <v>44070</v>
      </c>
      <c r="C721" t="str">
        <f t="shared" si="51"/>
        <v>agosto</v>
      </c>
      <c r="D721" t="s">
        <v>166</v>
      </c>
      <c r="E721" t="s">
        <v>92</v>
      </c>
      <c r="G721" t="s">
        <v>562</v>
      </c>
      <c r="H721">
        <v>2</v>
      </c>
      <c r="I721">
        <v>256</v>
      </c>
      <c r="J721" s="5">
        <f t="shared" si="52"/>
        <v>512</v>
      </c>
    </row>
    <row r="722" spans="2:13" hidden="1" x14ac:dyDescent="0.25">
      <c r="B722" s="1">
        <v>44070</v>
      </c>
      <c r="C722" t="str">
        <f t="shared" si="51"/>
        <v>agosto</v>
      </c>
      <c r="D722" t="s">
        <v>166</v>
      </c>
      <c r="E722" t="s">
        <v>70</v>
      </c>
      <c r="G722" t="s">
        <v>326</v>
      </c>
      <c r="H722">
        <v>5</v>
      </c>
      <c r="I722">
        <v>63</v>
      </c>
      <c r="J722" s="5">
        <f t="shared" si="52"/>
        <v>315</v>
      </c>
    </row>
    <row r="723" spans="2:13" hidden="1" x14ac:dyDescent="0.25">
      <c r="B723" s="1">
        <v>44071</v>
      </c>
      <c r="C723" t="str">
        <f t="shared" si="51"/>
        <v>agosto</v>
      </c>
      <c r="D723" t="s">
        <v>166</v>
      </c>
      <c r="E723" t="s">
        <v>78</v>
      </c>
      <c r="G723" t="s">
        <v>567</v>
      </c>
      <c r="H723">
        <v>3</v>
      </c>
      <c r="I723">
        <v>451</v>
      </c>
      <c r="J723" s="5">
        <f t="shared" si="52"/>
        <v>1353</v>
      </c>
    </row>
    <row r="724" spans="2:13" hidden="1" x14ac:dyDescent="0.25">
      <c r="B724" s="1">
        <v>44071</v>
      </c>
      <c r="C724" t="str">
        <f t="shared" si="51"/>
        <v>agosto</v>
      </c>
      <c r="D724" t="s">
        <v>166</v>
      </c>
      <c r="E724" t="s">
        <v>78</v>
      </c>
      <c r="G724" t="s">
        <v>568</v>
      </c>
      <c r="H724">
        <v>3</v>
      </c>
      <c r="I724">
        <v>477</v>
      </c>
      <c r="J724" s="5">
        <f t="shared" si="52"/>
        <v>1431</v>
      </c>
    </row>
    <row r="725" spans="2:13" hidden="1" x14ac:dyDescent="0.25">
      <c r="B725" s="1">
        <v>44071</v>
      </c>
      <c r="C725" t="str">
        <f t="shared" si="51"/>
        <v>agosto</v>
      </c>
      <c r="D725" t="s">
        <v>166</v>
      </c>
      <c r="E725" t="s">
        <v>92</v>
      </c>
      <c r="G725" t="s">
        <v>569</v>
      </c>
      <c r="H725">
        <v>3</v>
      </c>
      <c r="I725">
        <v>226</v>
      </c>
      <c r="J725" s="5">
        <f t="shared" si="52"/>
        <v>678</v>
      </c>
    </row>
    <row r="726" spans="2:13" hidden="1" x14ac:dyDescent="0.25">
      <c r="B726" s="1">
        <v>44071</v>
      </c>
      <c r="C726" t="str">
        <f t="shared" si="51"/>
        <v>agosto</v>
      </c>
      <c r="D726" t="s">
        <v>166</v>
      </c>
      <c r="E726" t="s">
        <v>92</v>
      </c>
      <c r="G726" t="s">
        <v>571</v>
      </c>
      <c r="H726">
        <v>3</v>
      </c>
      <c r="I726">
        <v>142</v>
      </c>
      <c r="J726" s="5">
        <f t="shared" si="52"/>
        <v>426</v>
      </c>
    </row>
    <row r="727" spans="2:13" hidden="1" x14ac:dyDescent="0.25">
      <c r="B727" s="1">
        <v>44071</v>
      </c>
      <c r="C727" t="str">
        <f t="shared" si="51"/>
        <v>agosto</v>
      </c>
      <c r="D727" t="s">
        <v>166</v>
      </c>
      <c r="E727" t="s">
        <v>92</v>
      </c>
      <c r="G727" t="s">
        <v>570</v>
      </c>
      <c r="H727">
        <v>3</v>
      </c>
      <c r="I727">
        <v>149</v>
      </c>
      <c r="J727" s="5">
        <f t="shared" si="52"/>
        <v>447</v>
      </c>
    </row>
    <row r="728" spans="2:13" hidden="1" x14ac:dyDescent="0.25">
      <c r="B728" s="1">
        <v>44071</v>
      </c>
      <c r="C728" t="str">
        <f t="shared" si="51"/>
        <v>agosto</v>
      </c>
      <c r="D728" t="s">
        <v>166</v>
      </c>
      <c r="E728" t="s">
        <v>92</v>
      </c>
      <c r="G728" t="s">
        <v>572</v>
      </c>
      <c r="H728">
        <v>5</v>
      </c>
      <c r="I728">
        <v>74</v>
      </c>
      <c r="J728" s="5">
        <f t="shared" si="52"/>
        <v>370</v>
      </c>
    </row>
    <row r="729" spans="2:13" hidden="1" x14ac:dyDescent="0.25">
      <c r="B729" s="1">
        <v>44071</v>
      </c>
      <c r="C729" t="str">
        <f t="shared" si="51"/>
        <v>agosto</v>
      </c>
      <c r="D729" t="s">
        <v>166</v>
      </c>
      <c r="E729" t="s">
        <v>92</v>
      </c>
      <c r="G729" t="s">
        <v>182</v>
      </c>
      <c r="H729">
        <v>12</v>
      </c>
      <c r="I729">
        <v>94</v>
      </c>
      <c r="J729" s="5">
        <f t="shared" si="52"/>
        <v>1128</v>
      </c>
    </row>
    <row r="730" spans="2:13" hidden="1" x14ac:dyDescent="0.25">
      <c r="B730" s="1">
        <v>44071</v>
      </c>
      <c r="C730" t="str">
        <f t="shared" si="51"/>
        <v>agosto</v>
      </c>
      <c r="D730" t="s">
        <v>166</v>
      </c>
      <c r="E730" t="s">
        <v>23</v>
      </c>
      <c r="G730" t="s">
        <v>573</v>
      </c>
      <c r="H730">
        <v>12</v>
      </c>
      <c r="I730">
        <v>50</v>
      </c>
      <c r="J730" s="5">
        <f t="shared" si="52"/>
        <v>600</v>
      </c>
    </row>
    <row r="731" spans="2:13" hidden="1" x14ac:dyDescent="0.25">
      <c r="B731" s="1">
        <v>44071</v>
      </c>
      <c r="C731" t="str">
        <f t="shared" si="51"/>
        <v>agosto</v>
      </c>
      <c r="D731" t="s">
        <v>166</v>
      </c>
      <c r="E731" t="s">
        <v>23</v>
      </c>
      <c r="G731" t="s">
        <v>574</v>
      </c>
      <c r="H731">
        <v>12</v>
      </c>
      <c r="I731">
        <v>34</v>
      </c>
      <c r="J731" s="5">
        <f t="shared" si="52"/>
        <v>408</v>
      </c>
    </row>
    <row r="732" spans="2:13" hidden="1" x14ac:dyDescent="0.25">
      <c r="B732" s="1">
        <v>44071</v>
      </c>
      <c r="C732" t="str">
        <f t="shared" si="51"/>
        <v>agosto</v>
      </c>
      <c r="D732" t="s">
        <v>166</v>
      </c>
      <c r="E732" t="s">
        <v>23</v>
      </c>
      <c r="G732" t="s">
        <v>575</v>
      </c>
      <c r="H732">
        <v>12</v>
      </c>
      <c r="I732">
        <v>30</v>
      </c>
      <c r="J732" s="5">
        <f t="shared" si="52"/>
        <v>360</v>
      </c>
    </row>
    <row r="733" spans="2:13" hidden="1" x14ac:dyDescent="0.25">
      <c r="B733" s="1">
        <v>44036</v>
      </c>
      <c r="C733" t="str">
        <f t="shared" si="51"/>
        <v>julio</v>
      </c>
      <c r="D733" t="s">
        <v>167</v>
      </c>
      <c r="E733" t="s">
        <v>15</v>
      </c>
      <c r="G733" t="s">
        <v>359</v>
      </c>
      <c r="H733">
        <v>20</v>
      </c>
      <c r="I733">
        <v>247</v>
      </c>
      <c r="J733" s="5">
        <f t="shared" si="52"/>
        <v>4940</v>
      </c>
    </row>
    <row r="734" spans="2:13" hidden="1" x14ac:dyDescent="0.25">
      <c r="B734" s="1">
        <v>44036</v>
      </c>
      <c r="C734" t="str">
        <f t="shared" si="51"/>
        <v>julio</v>
      </c>
      <c r="D734" t="s">
        <v>167</v>
      </c>
      <c r="E734" t="s">
        <v>55</v>
      </c>
      <c r="G734" t="s">
        <v>89</v>
      </c>
      <c r="H734">
        <v>14.16</v>
      </c>
      <c r="I734">
        <v>268</v>
      </c>
      <c r="J734" s="5">
        <f t="shared" si="52"/>
        <v>3794.88</v>
      </c>
    </row>
    <row r="735" spans="2:13" hidden="1" x14ac:dyDescent="0.25">
      <c r="B735" s="1">
        <v>44036</v>
      </c>
      <c r="C735" t="str">
        <f t="shared" si="51"/>
        <v>julio</v>
      </c>
      <c r="D735" t="s">
        <v>167</v>
      </c>
      <c r="E735" t="s">
        <v>55</v>
      </c>
      <c r="G735" t="s">
        <v>374</v>
      </c>
      <c r="H735">
        <v>14.16</v>
      </c>
      <c r="I735">
        <v>268</v>
      </c>
      <c r="J735" s="5">
        <f t="shared" si="52"/>
        <v>3794.88</v>
      </c>
      <c r="L735" s="56"/>
      <c r="M735" s="56"/>
    </row>
    <row r="736" spans="2:13" hidden="1" x14ac:dyDescent="0.25">
      <c r="B736" s="1">
        <v>44036</v>
      </c>
      <c r="C736" t="str">
        <f t="shared" si="51"/>
        <v>julio</v>
      </c>
      <c r="D736" t="s">
        <v>167</v>
      </c>
      <c r="E736" t="s">
        <v>55</v>
      </c>
      <c r="G736" t="s">
        <v>576</v>
      </c>
      <c r="H736">
        <v>10</v>
      </c>
      <c r="I736">
        <v>268</v>
      </c>
      <c r="J736" s="5">
        <f t="shared" si="52"/>
        <v>2680</v>
      </c>
    </row>
    <row r="737" spans="2:13" hidden="1" x14ac:dyDescent="0.25">
      <c r="B737" s="1">
        <v>44036</v>
      </c>
      <c r="C737" t="str">
        <f t="shared" si="51"/>
        <v>julio</v>
      </c>
      <c r="D737" t="s">
        <v>167</v>
      </c>
      <c r="E737" t="s">
        <v>15</v>
      </c>
      <c r="G737" t="s">
        <v>391</v>
      </c>
      <c r="H737">
        <v>20</v>
      </c>
      <c r="I737">
        <v>219</v>
      </c>
      <c r="J737" s="5">
        <f t="shared" si="52"/>
        <v>4380</v>
      </c>
    </row>
    <row r="738" spans="2:13" hidden="1" x14ac:dyDescent="0.25">
      <c r="B738" s="1">
        <v>44036</v>
      </c>
      <c r="C738" t="str">
        <f t="shared" si="51"/>
        <v>julio</v>
      </c>
      <c r="D738" t="s">
        <v>167</v>
      </c>
      <c r="E738" t="s">
        <v>55</v>
      </c>
      <c r="G738" t="s">
        <v>577</v>
      </c>
      <c r="H738">
        <v>5</v>
      </c>
      <c r="I738">
        <v>268</v>
      </c>
      <c r="J738" s="5">
        <f t="shared" si="52"/>
        <v>1340</v>
      </c>
    </row>
    <row r="739" spans="2:13" hidden="1" x14ac:dyDescent="0.25">
      <c r="B739" s="1">
        <v>44036</v>
      </c>
      <c r="C739" t="str">
        <f t="shared" si="51"/>
        <v>julio</v>
      </c>
      <c r="D739" t="s">
        <v>167</v>
      </c>
      <c r="E739" t="s">
        <v>55</v>
      </c>
      <c r="G739" t="s">
        <v>254</v>
      </c>
      <c r="H739">
        <v>2</v>
      </c>
      <c r="I739">
        <v>268</v>
      </c>
      <c r="J739" s="5">
        <f t="shared" si="52"/>
        <v>536</v>
      </c>
    </row>
    <row r="740" spans="2:13" hidden="1" x14ac:dyDescent="0.25">
      <c r="B740" s="1">
        <v>44036</v>
      </c>
      <c r="C740" t="str">
        <f t="shared" si="51"/>
        <v>julio</v>
      </c>
      <c r="D740" t="s">
        <v>167</v>
      </c>
      <c r="E740" t="s">
        <v>55</v>
      </c>
      <c r="G740" t="s">
        <v>146</v>
      </c>
      <c r="H740">
        <v>2</v>
      </c>
      <c r="I740">
        <v>268</v>
      </c>
      <c r="J740" s="5">
        <f t="shared" si="52"/>
        <v>536</v>
      </c>
      <c r="L740" s="56"/>
      <c r="M740" s="56"/>
    </row>
    <row r="741" spans="2:13" hidden="1" x14ac:dyDescent="0.25">
      <c r="B741" s="1">
        <v>44036</v>
      </c>
      <c r="C741" t="str">
        <f t="shared" si="51"/>
        <v>julio</v>
      </c>
      <c r="D741" t="s">
        <v>167</v>
      </c>
      <c r="E741" t="s">
        <v>55</v>
      </c>
      <c r="G741" t="s">
        <v>578</v>
      </c>
      <c r="H741">
        <v>10</v>
      </c>
      <c r="I741">
        <v>268</v>
      </c>
      <c r="J741" s="5">
        <f t="shared" si="52"/>
        <v>2680</v>
      </c>
    </row>
    <row r="742" spans="2:13" hidden="1" x14ac:dyDescent="0.25">
      <c r="B742" s="1">
        <v>44036</v>
      </c>
      <c r="C742" t="str">
        <f t="shared" si="51"/>
        <v>julio</v>
      </c>
      <c r="D742" t="s">
        <v>167</v>
      </c>
      <c r="E742" t="s">
        <v>55</v>
      </c>
      <c r="G742" t="s">
        <v>579</v>
      </c>
      <c r="H742">
        <v>3</v>
      </c>
      <c r="I742">
        <v>268</v>
      </c>
      <c r="J742" s="5">
        <f t="shared" si="52"/>
        <v>804</v>
      </c>
    </row>
    <row r="743" spans="2:13" hidden="1" x14ac:dyDescent="0.25">
      <c r="B743" s="1">
        <v>44036</v>
      </c>
      <c r="C743" t="str">
        <f t="shared" si="51"/>
        <v>julio</v>
      </c>
      <c r="D743" t="s">
        <v>167</v>
      </c>
      <c r="E743" t="s">
        <v>55</v>
      </c>
      <c r="G743" t="s">
        <v>580</v>
      </c>
      <c r="H743">
        <v>2.8319999999999999</v>
      </c>
      <c r="I743">
        <v>268</v>
      </c>
      <c r="J743" s="5">
        <f t="shared" si="52"/>
        <v>758.976</v>
      </c>
    </row>
    <row r="744" spans="2:13" hidden="1" x14ac:dyDescent="0.25">
      <c r="B744" s="1">
        <v>44036</v>
      </c>
      <c r="C744" t="str">
        <f t="shared" si="51"/>
        <v>julio</v>
      </c>
      <c r="D744" t="s">
        <v>167</v>
      </c>
      <c r="E744" t="s">
        <v>55</v>
      </c>
      <c r="G744" t="s">
        <v>581</v>
      </c>
      <c r="H744">
        <v>14.16</v>
      </c>
      <c r="I744">
        <v>268</v>
      </c>
      <c r="J744" s="5">
        <f t="shared" si="52"/>
        <v>3794.88</v>
      </c>
    </row>
    <row r="745" spans="2:13" hidden="1" x14ac:dyDescent="0.25">
      <c r="B745" s="1">
        <v>44036</v>
      </c>
      <c r="C745" t="str">
        <f t="shared" si="51"/>
        <v>julio</v>
      </c>
      <c r="D745" t="s">
        <v>167</v>
      </c>
      <c r="E745" t="s">
        <v>70</v>
      </c>
      <c r="G745" t="s">
        <v>227</v>
      </c>
      <c r="H745">
        <v>4</v>
      </c>
      <c r="I745">
        <v>1440</v>
      </c>
      <c r="J745" s="5">
        <f t="shared" si="52"/>
        <v>5760</v>
      </c>
    </row>
    <row r="746" spans="2:13" hidden="1" x14ac:dyDescent="0.25">
      <c r="B746" s="1">
        <v>44076</v>
      </c>
      <c r="C746" t="str">
        <f t="shared" si="51"/>
        <v>septiembre</v>
      </c>
      <c r="D746" t="s">
        <v>167</v>
      </c>
      <c r="E746" t="s">
        <v>15</v>
      </c>
      <c r="G746" t="s">
        <v>357</v>
      </c>
      <c r="H746">
        <v>5</v>
      </c>
      <c r="I746">
        <v>206</v>
      </c>
      <c r="J746" s="5">
        <f t="shared" si="52"/>
        <v>1030</v>
      </c>
    </row>
    <row r="747" spans="2:13" hidden="1" x14ac:dyDescent="0.25">
      <c r="B747" s="1">
        <v>44076</v>
      </c>
      <c r="C747" t="str">
        <f t="shared" si="51"/>
        <v>septiembre</v>
      </c>
      <c r="D747" t="s">
        <v>167</v>
      </c>
      <c r="E747" t="s">
        <v>64</v>
      </c>
      <c r="G747" t="s">
        <v>471</v>
      </c>
      <c r="H747">
        <v>9.0749999999999993</v>
      </c>
      <c r="I747">
        <v>335</v>
      </c>
      <c r="J747" s="5">
        <f t="shared" si="52"/>
        <v>3040.1249999999995</v>
      </c>
    </row>
    <row r="748" spans="2:13" hidden="1" x14ac:dyDescent="0.25">
      <c r="B748" s="1">
        <v>44076</v>
      </c>
      <c r="C748" t="str">
        <f t="shared" si="51"/>
        <v>septiembre</v>
      </c>
      <c r="D748" t="s">
        <v>167</v>
      </c>
      <c r="E748" t="s">
        <v>15</v>
      </c>
      <c r="G748" t="s">
        <v>271</v>
      </c>
      <c r="H748">
        <v>1</v>
      </c>
      <c r="I748">
        <v>268</v>
      </c>
      <c r="J748" s="5">
        <f t="shared" si="52"/>
        <v>268</v>
      </c>
    </row>
    <row r="749" spans="2:13" hidden="1" x14ac:dyDescent="0.25">
      <c r="B749" s="1">
        <v>44076</v>
      </c>
      <c r="C749" t="str">
        <f t="shared" si="51"/>
        <v>septiembre</v>
      </c>
      <c r="D749" t="s">
        <v>167</v>
      </c>
      <c r="E749" t="s">
        <v>15</v>
      </c>
      <c r="G749" t="s">
        <v>312</v>
      </c>
      <c r="H749">
        <v>2</v>
      </c>
      <c r="I749">
        <v>268</v>
      </c>
      <c r="J749" s="5">
        <f t="shared" si="52"/>
        <v>536</v>
      </c>
    </row>
    <row r="750" spans="2:13" hidden="1" x14ac:dyDescent="0.25">
      <c r="B750" s="1">
        <v>44081</v>
      </c>
      <c r="C750" t="str">
        <f t="shared" si="51"/>
        <v>septiembre</v>
      </c>
      <c r="D750" t="s">
        <v>167</v>
      </c>
      <c r="E750" t="s">
        <v>70</v>
      </c>
      <c r="G750" t="s">
        <v>151</v>
      </c>
      <c r="H750">
        <v>1</v>
      </c>
      <c r="I750">
        <v>1630</v>
      </c>
      <c r="J750" s="5">
        <f t="shared" si="52"/>
        <v>1630</v>
      </c>
    </row>
    <row r="751" spans="2:13" hidden="1" x14ac:dyDescent="0.25">
      <c r="B751" s="1">
        <v>44081</v>
      </c>
      <c r="C751" t="str">
        <f t="shared" si="51"/>
        <v>septiembre</v>
      </c>
      <c r="D751" t="s">
        <v>167</v>
      </c>
      <c r="E751" t="s">
        <v>70</v>
      </c>
      <c r="G751" t="s">
        <v>192</v>
      </c>
      <c r="H751">
        <v>1</v>
      </c>
      <c r="I751">
        <v>1630</v>
      </c>
      <c r="J751" s="5">
        <f t="shared" si="52"/>
        <v>1630</v>
      </c>
    </row>
    <row r="752" spans="2:13" hidden="1" x14ac:dyDescent="0.25">
      <c r="B752" s="1">
        <v>44081</v>
      </c>
      <c r="C752" t="str">
        <f t="shared" si="51"/>
        <v>septiembre</v>
      </c>
      <c r="D752" t="s">
        <v>167</v>
      </c>
      <c r="E752" t="s">
        <v>70</v>
      </c>
      <c r="G752" t="s">
        <v>582</v>
      </c>
      <c r="H752">
        <v>1</v>
      </c>
      <c r="I752">
        <v>1630</v>
      </c>
      <c r="J752" s="5">
        <f t="shared" si="52"/>
        <v>1630</v>
      </c>
    </row>
    <row r="753" spans="2:15" hidden="1" x14ac:dyDescent="0.25">
      <c r="B753" s="1">
        <v>44081</v>
      </c>
      <c r="C753" t="str">
        <f t="shared" si="51"/>
        <v>septiembre</v>
      </c>
      <c r="D753" t="s">
        <v>167</v>
      </c>
      <c r="E753" t="s">
        <v>70</v>
      </c>
      <c r="G753" t="s">
        <v>194</v>
      </c>
      <c r="H753">
        <v>1</v>
      </c>
      <c r="I753">
        <v>1707</v>
      </c>
      <c r="J753" s="5">
        <f t="shared" si="52"/>
        <v>1707</v>
      </c>
    </row>
    <row r="754" spans="2:15" hidden="1" x14ac:dyDescent="0.25">
      <c r="B754" s="1">
        <v>44081</v>
      </c>
      <c r="C754" t="str">
        <f t="shared" si="51"/>
        <v>septiembre</v>
      </c>
      <c r="D754" t="s">
        <v>167</v>
      </c>
      <c r="E754" t="s">
        <v>15</v>
      </c>
      <c r="G754" t="s">
        <v>489</v>
      </c>
      <c r="H754">
        <v>20</v>
      </c>
      <c r="I754">
        <v>207</v>
      </c>
      <c r="J754" s="5">
        <f t="shared" si="52"/>
        <v>4140</v>
      </c>
      <c r="L754" s="56"/>
      <c r="M754" s="56"/>
      <c r="O754" s="56"/>
    </row>
    <row r="755" spans="2:15" hidden="1" x14ac:dyDescent="0.25">
      <c r="B755" s="1">
        <v>44081</v>
      </c>
      <c r="C755" t="str">
        <f t="shared" si="51"/>
        <v>septiembre</v>
      </c>
      <c r="D755" t="s">
        <v>167</v>
      </c>
      <c r="E755" t="s">
        <v>55</v>
      </c>
      <c r="G755" t="s">
        <v>473</v>
      </c>
      <c r="H755">
        <v>10</v>
      </c>
      <c r="I755">
        <v>207</v>
      </c>
      <c r="J755" s="5">
        <f t="shared" si="52"/>
        <v>2070</v>
      </c>
      <c r="L755" s="56"/>
      <c r="M755" s="56"/>
    </row>
    <row r="756" spans="2:15" hidden="1" x14ac:dyDescent="0.25">
      <c r="B756" s="1">
        <v>44081</v>
      </c>
      <c r="C756" t="str">
        <f t="shared" si="51"/>
        <v>septiembre</v>
      </c>
      <c r="D756" t="s">
        <v>167</v>
      </c>
      <c r="E756" t="s">
        <v>15</v>
      </c>
      <c r="G756" t="s">
        <v>487</v>
      </c>
      <c r="H756">
        <v>30</v>
      </c>
      <c r="I756">
        <v>207</v>
      </c>
      <c r="J756" s="5">
        <f t="shared" si="52"/>
        <v>6210</v>
      </c>
      <c r="L756" s="56"/>
      <c r="M756" s="56"/>
    </row>
    <row r="757" spans="2:15" hidden="1" x14ac:dyDescent="0.25">
      <c r="B757" s="1">
        <v>44081</v>
      </c>
      <c r="C757" t="str">
        <f t="shared" si="51"/>
        <v>septiembre</v>
      </c>
      <c r="D757" t="s">
        <v>167</v>
      </c>
      <c r="E757" t="s">
        <v>15</v>
      </c>
      <c r="G757" t="s">
        <v>356</v>
      </c>
      <c r="H757">
        <v>10</v>
      </c>
      <c r="I757">
        <v>206</v>
      </c>
      <c r="J757" s="5">
        <f t="shared" si="52"/>
        <v>2060</v>
      </c>
    </row>
    <row r="758" spans="2:15" hidden="1" x14ac:dyDescent="0.25">
      <c r="B758" s="1">
        <v>44081</v>
      </c>
      <c r="C758" t="str">
        <f t="shared" si="51"/>
        <v>septiembre</v>
      </c>
      <c r="D758" t="s">
        <v>167</v>
      </c>
      <c r="E758" t="s">
        <v>15</v>
      </c>
      <c r="G758" t="s">
        <v>490</v>
      </c>
      <c r="H758">
        <v>10</v>
      </c>
      <c r="I758">
        <v>207</v>
      </c>
      <c r="J758" s="5">
        <f t="shared" si="52"/>
        <v>2070</v>
      </c>
      <c r="L758" s="56"/>
      <c r="M758" s="56"/>
    </row>
    <row r="759" spans="2:15" hidden="1" x14ac:dyDescent="0.25">
      <c r="B759" s="1">
        <v>44081</v>
      </c>
      <c r="C759" t="str">
        <f t="shared" si="51"/>
        <v>septiembre</v>
      </c>
      <c r="D759" t="s">
        <v>167</v>
      </c>
      <c r="E759" t="s">
        <v>15</v>
      </c>
      <c r="G759" t="s">
        <v>583</v>
      </c>
      <c r="H759">
        <v>10</v>
      </c>
      <c r="I759">
        <v>219</v>
      </c>
      <c r="J759" s="5">
        <f t="shared" si="52"/>
        <v>2190</v>
      </c>
      <c r="L759" s="56"/>
      <c r="M759" s="56"/>
    </row>
    <row r="760" spans="2:15" hidden="1" x14ac:dyDescent="0.25">
      <c r="B760" s="1">
        <v>44081</v>
      </c>
      <c r="C760" t="str">
        <f t="shared" si="51"/>
        <v>septiembre</v>
      </c>
      <c r="D760" t="s">
        <v>167</v>
      </c>
      <c r="E760" t="s">
        <v>70</v>
      </c>
      <c r="G760" t="s">
        <v>584</v>
      </c>
      <c r="H760">
        <v>2</v>
      </c>
      <c r="I760">
        <v>311</v>
      </c>
      <c r="J760" s="5">
        <f t="shared" si="52"/>
        <v>622</v>
      </c>
      <c r="L760" s="56"/>
      <c r="M760" s="56"/>
    </row>
    <row r="761" spans="2:15" hidden="1" x14ac:dyDescent="0.25">
      <c r="B761" s="1">
        <v>44081</v>
      </c>
      <c r="C761" t="str">
        <f t="shared" si="51"/>
        <v>septiembre</v>
      </c>
      <c r="D761" t="s">
        <v>167</v>
      </c>
      <c r="E761" t="s">
        <v>15</v>
      </c>
      <c r="G761" t="s">
        <v>346</v>
      </c>
      <c r="H761">
        <v>10</v>
      </c>
      <c r="I761">
        <v>210</v>
      </c>
      <c r="J761" s="5">
        <f t="shared" si="52"/>
        <v>2100</v>
      </c>
    </row>
    <row r="762" spans="2:15" hidden="1" x14ac:dyDescent="0.25">
      <c r="B762" s="1">
        <v>44082</v>
      </c>
      <c r="C762" t="str">
        <f t="shared" si="51"/>
        <v>septiembre</v>
      </c>
      <c r="D762" t="s">
        <v>167</v>
      </c>
      <c r="E762" t="s">
        <v>78</v>
      </c>
      <c r="G762" t="s">
        <v>79</v>
      </c>
      <c r="H762">
        <v>1</v>
      </c>
      <c r="I762">
        <v>1302</v>
      </c>
      <c r="J762" s="5">
        <f t="shared" si="52"/>
        <v>1302</v>
      </c>
    </row>
    <row r="763" spans="2:15" hidden="1" x14ac:dyDescent="0.25">
      <c r="B763" s="1">
        <v>44082</v>
      </c>
      <c r="C763" t="str">
        <f t="shared" si="51"/>
        <v>septiembre</v>
      </c>
      <c r="D763" t="s">
        <v>167</v>
      </c>
      <c r="E763" t="s">
        <v>15</v>
      </c>
      <c r="G763" t="s">
        <v>104</v>
      </c>
      <c r="H763">
        <v>30</v>
      </c>
      <c r="I763">
        <v>268</v>
      </c>
      <c r="J763" s="5">
        <f t="shared" si="52"/>
        <v>8040</v>
      </c>
      <c r="L763" s="56"/>
      <c r="M763" s="56"/>
    </row>
    <row r="764" spans="2:15" hidden="1" x14ac:dyDescent="0.25">
      <c r="B764" s="1">
        <v>44082</v>
      </c>
      <c r="C764" t="str">
        <f t="shared" si="51"/>
        <v>septiembre</v>
      </c>
      <c r="D764" t="s">
        <v>167</v>
      </c>
      <c r="E764" t="s">
        <v>15</v>
      </c>
      <c r="G764" t="s">
        <v>401</v>
      </c>
      <c r="H764">
        <v>30</v>
      </c>
      <c r="I764">
        <v>268</v>
      </c>
      <c r="J764" s="5">
        <f t="shared" si="52"/>
        <v>8040</v>
      </c>
    </row>
    <row r="765" spans="2:15" hidden="1" x14ac:dyDescent="0.25">
      <c r="B765" s="1">
        <v>44082</v>
      </c>
      <c r="C765" t="str">
        <f t="shared" si="51"/>
        <v>septiembre</v>
      </c>
      <c r="D765" t="s">
        <v>167</v>
      </c>
      <c r="E765" t="s">
        <v>15</v>
      </c>
      <c r="G765" t="s">
        <v>312</v>
      </c>
      <c r="H765">
        <v>10</v>
      </c>
      <c r="I765">
        <v>268</v>
      </c>
      <c r="J765" s="5">
        <f t="shared" si="52"/>
        <v>2680</v>
      </c>
    </row>
    <row r="766" spans="2:15" hidden="1" x14ac:dyDescent="0.25">
      <c r="B766" s="1">
        <v>44090</v>
      </c>
      <c r="C766" t="str">
        <f t="shared" si="51"/>
        <v>septiembre</v>
      </c>
      <c r="D766" t="s">
        <v>167</v>
      </c>
      <c r="E766" t="s">
        <v>70</v>
      </c>
      <c r="G766" t="s">
        <v>420</v>
      </c>
      <c r="H766">
        <v>1</v>
      </c>
      <c r="I766">
        <v>2760</v>
      </c>
      <c r="J766" s="5">
        <f t="shared" si="52"/>
        <v>2760</v>
      </c>
    </row>
    <row r="767" spans="2:15" hidden="1" x14ac:dyDescent="0.25">
      <c r="B767" s="1">
        <v>44090</v>
      </c>
      <c r="C767" t="str">
        <f t="shared" si="51"/>
        <v>septiembre</v>
      </c>
      <c r="D767" t="s">
        <v>167</v>
      </c>
      <c r="E767" t="s">
        <v>70</v>
      </c>
      <c r="G767" t="s">
        <v>585</v>
      </c>
      <c r="H767">
        <v>1</v>
      </c>
      <c r="I767">
        <v>1960</v>
      </c>
      <c r="J767" s="5">
        <f t="shared" si="52"/>
        <v>1960</v>
      </c>
    </row>
    <row r="768" spans="2:15" hidden="1" x14ac:dyDescent="0.25">
      <c r="B768" s="1">
        <v>44093</v>
      </c>
      <c r="C768" t="str">
        <f t="shared" si="51"/>
        <v>septiembre</v>
      </c>
      <c r="D768" t="s">
        <v>167</v>
      </c>
      <c r="E768" t="s">
        <v>85</v>
      </c>
      <c r="G768" t="s">
        <v>216</v>
      </c>
      <c r="H768">
        <v>10</v>
      </c>
      <c r="I768">
        <v>460</v>
      </c>
      <c r="J768" s="5">
        <f t="shared" si="52"/>
        <v>4600</v>
      </c>
    </row>
    <row r="769" spans="2:13" hidden="1" x14ac:dyDescent="0.25">
      <c r="B769" s="1">
        <v>44093</v>
      </c>
      <c r="C769" t="str">
        <f t="shared" si="51"/>
        <v>septiembre</v>
      </c>
      <c r="D769" t="s">
        <v>167</v>
      </c>
      <c r="E769" t="s">
        <v>55</v>
      </c>
      <c r="G769" t="s">
        <v>22</v>
      </c>
      <c r="H769">
        <v>14.1</v>
      </c>
      <c r="I769">
        <v>268</v>
      </c>
      <c r="J769" s="5">
        <f t="shared" si="52"/>
        <v>3778.7999999999997</v>
      </c>
    </row>
    <row r="770" spans="2:13" hidden="1" x14ac:dyDescent="0.25">
      <c r="B770" s="1">
        <v>44093</v>
      </c>
      <c r="C770" t="str">
        <f t="shared" ref="C770:C833" si="53">+TEXT(B770,"mmmm")</f>
        <v>septiembre</v>
      </c>
      <c r="D770" t="s">
        <v>167</v>
      </c>
      <c r="E770" t="s">
        <v>55</v>
      </c>
      <c r="G770" t="s">
        <v>89</v>
      </c>
      <c r="H770">
        <v>14.1</v>
      </c>
      <c r="I770">
        <v>268</v>
      </c>
      <c r="J770" s="5">
        <f t="shared" ref="J770:J833" si="54">+H770*I770</f>
        <v>3778.7999999999997</v>
      </c>
    </row>
    <row r="771" spans="2:13" hidden="1" x14ac:dyDescent="0.25">
      <c r="B771" s="1">
        <v>44093</v>
      </c>
      <c r="C771" t="str">
        <f t="shared" si="53"/>
        <v>septiembre</v>
      </c>
      <c r="D771" t="s">
        <v>167</v>
      </c>
      <c r="E771" t="s">
        <v>55</v>
      </c>
      <c r="G771" t="s">
        <v>103</v>
      </c>
      <c r="H771">
        <v>10</v>
      </c>
      <c r="I771">
        <v>268</v>
      </c>
      <c r="J771" s="5">
        <f t="shared" si="54"/>
        <v>2680</v>
      </c>
    </row>
    <row r="772" spans="2:13" hidden="1" x14ac:dyDescent="0.25">
      <c r="B772" s="1">
        <v>44093</v>
      </c>
      <c r="C772" t="str">
        <f t="shared" si="53"/>
        <v>septiembre</v>
      </c>
      <c r="D772" t="s">
        <v>167</v>
      </c>
      <c r="E772" t="s">
        <v>55</v>
      </c>
      <c r="G772" t="s">
        <v>576</v>
      </c>
      <c r="H772">
        <v>10</v>
      </c>
      <c r="I772">
        <v>268</v>
      </c>
      <c r="J772" s="5">
        <f t="shared" si="54"/>
        <v>2680</v>
      </c>
    </row>
    <row r="773" spans="2:13" hidden="1" x14ac:dyDescent="0.25">
      <c r="B773" s="1">
        <v>44093</v>
      </c>
      <c r="C773" t="str">
        <f t="shared" si="53"/>
        <v>septiembre</v>
      </c>
      <c r="D773" t="s">
        <v>167</v>
      </c>
      <c r="E773" t="s">
        <v>55</v>
      </c>
      <c r="G773" t="s">
        <v>586</v>
      </c>
      <c r="H773">
        <v>10</v>
      </c>
      <c r="I773">
        <v>268</v>
      </c>
      <c r="J773" s="5">
        <f t="shared" si="54"/>
        <v>2680</v>
      </c>
    </row>
    <row r="774" spans="2:13" hidden="1" x14ac:dyDescent="0.25">
      <c r="B774" s="1">
        <v>44093</v>
      </c>
      <c r="C774" t="str">
        <f t="shared" si="53"/>
        <v>septiembre</v>
      </c>
      <c r="D774" t="s">
        <v>167</v>
      </c>
      <c r="E774" t="s">
        <v>55</v>
      </c>
      <c r="G774" t="s">
        <v>587</v>
      </c>
      <c r="H774">
        <v>14.1</v>
      </c>
      <c r="I774">
        <v>268</v>
      </c>
      <c r="J774" s="5">
        <f t="shared" si="54"/>
        <v>3778.7999999999997</v>
      </c>
      <c r="L774" s="56"/>
      <c r="M774" s="56"/>
    </row>
    <row r="775" spans="2:13" hidden="1" x14ac:dyDescent="0.25">
      <c r="B775" s="1">
        <v>44093</v>
      </c>
      <c r="C775" t="str">
        <f t="shared" si="53"/>
        <v>septiembre</v>
      </c>
      <c r="D775" t="s">
        <v>167</v>
      </c>
      <c r="E775" t="s">
        <v>55</v>
      </c>
      <c r="G775" t="s">
        <v>588</v>
      </c>
      <c r="H775">
        <v>14</v>
      </c>
      <c r="I775">
        <v>283</v>
      </c>
      <c r="J775" s="5">
        <f t="shared" si="54"/>
        <v>3962</v>
      </c>
      <c r="L775" s="56"/>
    </row>
    <row r="776" spans="2:13" hidden="1" x14ac:dyDescent="0.25">
      <c r="B776" s="1">
        <v>44093</v>
      </c>
      <c r="C776" t="str">
        <f t="shared" si="53"/>
        <v>septiembre</v>
      </c>
      <c r="D776" t="s">
        <v>167</v>
      </c>
      <c r="E776" t="s">
        <v>55</v>
      </c>
      <c r="G776" t="s">
        <v>589</v>
      </c>
      <c r="H776">
        <v>10</v>
      </c>
      <c r="I776">
        <v>268</v>
      </c>
      <c r="J776" s="5">
        <f t="shared" si="54"/>
        <v>2680</v>
      </c>
    </row>
    <row r="777" spans="2:13" hidden="1" x14ac:dyDescent="0.25">
      <c r="B777" s="1">
        <v>44093</v>
      </c>
      <c r="C777" t="str">
        <f t="shared" si="53"/>
        <v>septiembre</v>
      </c>
      <c r="D777" t="s">
        <v>167</v>
      </c>
      <c r="E777" t="s">
        <v>55</v>
      </c>
      <c r="G777" t="s">
        <v>107</v>
      </c>
      <c r="H777">
        <v>10</v>
      </c>
      <c r="I777">
        <v>268</v>
      </c>
      <c r="J777" s="5">
        <f t="shared" si="54"/>
        <v>2680</v>
      </c>
    </row>
    <row r="778" spans="2:13" hidden="1" x14ac:dyDescent="0.25">
      <c r="B778" s="1">
        <v>44096</v>
      </c>
      <c r="C778" t="str">
        <f t="shared" si="53"/>
        <v>septiembre</v>
      </c>
      <c r="D778" t="s">
        <v>167</v>
      </c>
      <c r="E778" t="s">
        <v>205</v>
      </c>
      <c r="G778" t="s">
        <v>590</v>
      </c>
      <c r="H778">
        <v>1.08</v>
      </c>
      <c r="I778">
        <v>345</v>
      </c>
      <c r="J778" s="5">
        <f t="shared" si="54"/>
        <v>372.6</v>
      </c>
    </row>
    <row r="779" spans="2:13" hidden="1" x14ac:dyDescent="0.25">
      <c r="B779" s="1">
        <v>44096</v>
      </c>
      <c r="C779" t="str">
        <f t="shared" si="53"/>
        <v>septiembre</v>
      </c>
      <c r="D779" t="s">
        <v>167</v>
      </c>
      <c r="E779" t="s">
        <v>205</v>
      </c>
      <c r="G779" t="s">
        <v>591</v>
      </c>
      <c r="H779">
        <v>1.08</v>
      </c>
      <c r="I779">
        <v>345</v>
      </c>
      <c r="J779" s="5">
        <f t="shared" si="54"/>
        <v>372.6</v>
      </c>
    </row>
    <row r="780" spans="2:13" hidden="1" x14ac:dyDescent="0.25">
      <c r="B780" s="1">
        <v>44096</v>
      </c>
      <c r="C780" t="str">
        <f t="shared" si="53"/>
        <v>septiembre</v>
      </c>
      <c r="D780" t="s">
        <v>167</v>
      </c>
      <c r="E780" t="s">
        <v>205</v>
      </c>
      <c r="G780" t="s">
        <v>492</v>
      </c>
      <c r="H780">
        <v>2.1800000000000002</v>
      </c>
      <c r="I780">
        <v>391</v>
      </c>
      <c r="J780" s="5">
        <f t="shared" si="54"/>
        <v>852.38000000000011</v>
      </c>
    </row>
    <row r="781" spans="2:13" hidden="1" x14ac:dyDescent="0.25">
      <c r="B781" s="1">
        <v>44096</v>
      </c>
      <c r="C781" t="str">
        <f t="shared" si="53"/>
        <v>septiembre</v>
      </c>
      <c r="D781" t="s">
        <v>167</v>
      </c>
      <c r="E781" t="s">
        <v>15</v>
      </c>
      <c r="G781" t="s">
        <v>493</v>
      </c>
      <c r="H781">
        <v>2</v>
      </c>
      <c r="I781">
        <v>268</v>
      </c>
      <c r="J781" s="5">
        <f t="shared" si="54"/>
        <v>536</v>
      </c>
    </row>
    <row r="782" spans="2:13" hidden="1" x14ac:dyDescent="0.25">
      <c r="B782" s="1">
        <v>44096</v>
      </c>
      <c r="C782" t="str">
        <f t="shared" si="53"/>
        <v>septiembre</v>
      </c>
      <c r="D782" t="s">
        <v>167</v>
      </c>
      <c r="E782" t="s">
        <v>55</v>
      </c>
      <c r="G782" t="s">
        <v>418</v>
      </c>
      <c r="H782">
        <v>10.0235</v>
      </c>
      <c r="I782">
        <v>268</v>
      </c>
      <c r="J782" s="5">
        <f t="shared" si="54"/>
        <v>2686.2980000000002</v>
      </c>
    </row>
    <row r="783" spans="2:13" hidden="1" x14ac:dyDescent="0.25">
      <c r="B783" s="1">
        <v>44096</v>
      </c>
      <c r="C783" t="str">
        <f t="shared" si="53"/>
        <v>septiembre</v>
      </c>
      <c r="D783" t="s">
        <v>167</v>
      </c>
      <c r="E783" t="s">
        <v>26</v>
      </c>
      <c r="G783" t="s">
        <v>592</v>
      </c>
      <c r="H783">
        <v>20.16</v>
      </c>
      <c r="I783">
        <v>350</v>
      </c>
      <c r="J783" s="5">
        <f t="shared" si="54"/>
        <v>7056</v>
      </c>
    </row>
    <row r="784" spans="2:13" hidden="1" x14ac:dyDescent="0.25">
      <c r="B784" s="1">
        <v>44096</v>
      </c>
      <c r="C784" t="str">
        <f t="shared" si="53"/>
        <v>septiembre</v>
      </c>
      <c r="D784" t="s">
        <v>167</v>
      </c>
      <c r="E784" t="s">
        <v>26</v>
      </c>
      <c r="G784" t="s">
        <v>531</v>
      </c>
      <c r="H784">
        <v>20.16</v>
      </c>
      <c r="I784">
        <v>350</v>
      </c>
      <c r="J784" s="5">
        <f t="shared" si="54"/>
        <v>7056</v>
      </c>
    </row>
    <row r="785" spans="2:13" hidden="1" x14ac:dyDescent="0.25">
      <c r="B785" s="1">
        <v>44096</v>
      </c>
      <c r="C785" t="str">
        <f t="shared" si="53"/>
        <v>septiembre</v>
      </c>
      <c r="D785" t="s">
        <v>167</v>
      </c>
      <c r="E785" t="s">
        <v>26</v>
      </c>
      <c r="G785" t="s">
        <v>20</v>
      </c>
      <c r="H785">
        <v>1.44</v>
      </c>
      <c r="I785">
        <v>350</v>
      </c>
      <c r="J785" s="5">
        <f t="shared" si="54"/>
        <v>504</v>
      </c>
    </row>
    <row r="786" spans="2:13" hidden="1" x14ac:dyDescent="0.25">
      <c r="B786" s="1">
        <v>44096</v>
      </c>
      <c r="C786" t="str">
        <f t="shared" si="53"/>
        <v>septiembre</v>
      </c>
      <c r="D786" t="s">
        <v>167</v>
      </c>
      <c r="E786" t="s">
        <v>55</v>
      </c>
      <c r="G786" t="s">
        <v>22</v>
      </c>
      <c r="H786">
        <v>14.6</v>
      </c>
      <c r="I786">
        <v>268</v>
      </c>
      <c r="J786" s="5">
        <f t="shared" si="54"/>
        <v>3912.7999999999997</v>
      </c>
    </row>
    <row r="787" spans="2:13" hidden="1" x14ac:dyDescent="0.25">
      <c r="B787" s="1">
        <v>44096</v>
      </c>
      <c r="C787" t="str">
        <f t="shared" si="53"/>
        <v>septiembre</v>
      </c>
      <c r="D787" t="s">
        <v>167</v>
      </c>
      <c r="E787" t="s">
        <v>70</v>
      </c>
      <c r="G787" t="s">
        <v>284</v>
      </c>
      <c r="H787">
        <v>2</v>
      </c>
      <c r="I787">
        <v>1718</v>
      </c>
      <c r="J787" s="5">
        <f t="shared" si="54"/>
        <v>3436</v>
      </c>
    </row>
    <row r="788" spans="2:13" hidden="1" x14ac:dyDescent="0.25">
      <c r="B788" s="1">
        <v>44096</v>
      </c>
      <c r="C788" t="str">
        <f t="shared" si="53"/>
        <v>septiembre</v>
      </c>
      <c r="D788" t="s">
        <v>167</v>
      </c>
      <c r="E788" t="s">
        <v>85</v>
      </c>
      <c r="G788" t="s">
        <v>593</v>
      </c>
      <c r="H788">
        <v>1</v>
      </c>
      <c r="I788">
        <v>751</v>
      </c>
      <c r="J788" s="5">
        <f t="shared" si="54"/>
        <v>751</v>
      </c>
    </row>
    <row r="789" spans="2:13" hidden="1" x14ac:dyDescent="0.25">
      <c r="B789" s="1">
        <v>44096</v>
      </c>
      <c r="C789" t="str">
        <f t="shared" si="53"/>
        <v>septiembre</v>
      </c>
      <c r="D789" t="s">
        <v>167</v>
      </c>
      <c r="E789" t="s">
        <v>85</v>
      </c>
      <c r="G789" t="s">
        <v>500</v>
      </c>
      <c r="H789">
        <v>1</v>
      </c>
      <c r="I789">
        <v>789</v>
      </c>
      <c r="J789" s="5">
        <f t="shared" si="54"/>
        <v>789</v>
      </c>
    </row>
    <row r="790" spans="2:13" hidden="1" x14ac:dyDescent="0.25">
      <c r="B790" s="1">
        <v>44096</v>
      </c>
      <c r="C790" t="str">
        <f t="shared" si="53"/>
        <v>septiembre</v>
      </c>
      <c r="D790" t="s">
        <v>167</v>
      </c>
      <c r="E790" t="s">
        <v>85</v>
      </c>
      <c r="G790" t="s">
        <v>594</v>
      </c>
      <c r="H790">
        <v>1</v>
      </c>
      <c r="I790">
        <v>751</v>
      </c>
      <c r="J790" s="5">
        <f t="shared" si="54"/>
        <v>751</v>
      </c>
    </row>
    <row r="791" spans="2:13" hidden="1" x14ac:dyDescent="0.25">
      <c r="B791" s="1">
        <v>44096</v>
      </c>
      <c r="C791" t="str">
        <f t="shared" si="53"/>
        <v>septiembre</v>
      </c>
      <c r="D791" t="s">
        <v>167</v>
      </c>
      <c r="E791" t="s">
        <v>15</v>
      </c>
      <c r="G791" t="s">
        <v>110</v>
      </c>
      <c r="H791">
        <v>70</v>
      </c>
      <c r="I791">
        <v>268</v>
      </c>
      <c r="J791" s="5">
        <f t="shared" si="54"/>
        <v>18760</v>
      </c>
    </row>
    <row r="792" spans="2:13" hidden="1" x14ac:dyDescent="0.25">
      <c r="B792" s="1">
        <v>44104</v>
      </c>
      <c r="C792" t="str">
        <f t="shared" si="53"/>
        <v>septiembre</v>
      </c>
      <c r="D792" t="s">
        <v>167</v>
      </c>
      <c r="E792" t="s">
        <v>15</v>
      </c>
      <c r="G792" t="s">
        <v>425</v>
      </c>
      <c r="H792">
        <v>4</v>
      </c>
      <c r="I792">
        <v>207</v>
      </c>
      <c r="J792" s="5">
        <f t="shared" si="54"/>
        <v>828</v>
      </c>
    </row>
    <row r="793" spans="2:13" hidden="1" x14ac:dyDescent="0.25">
      <c r="B793" s="1">
        <v>44105</v>
      </c>
      <c r="C793" t="str">
        <f t="shared" si="53"/>
        <v>octubre</v>
      </c>
      <c r="D793" t="s">
        <v>167</v>
      </c>
      <c r="E793" t="s">
        <v>78</v>
      </c>
      <c r="G793" t="s">
        <v>79</v>
      </c>
      <c r="H793">
        <v>1</v>
      </c>
      <c r="I793">
        <v>1260</v>
      </c>
      <c r="J793" s="5">
        <f t="shared" si="54"/>
        <v>1260</v>
      </c>
    </row>
    <row r="794" spans="2:13" hidden="1" x14ac:dyDescent="0.25">
      <c r="B794" s="1">
        <v>44105</v>
      </c>
      <c r="C794" t="str">
        <f t="shared" si="53"/>
        <v>octubre</v>
      </c>
      <c r="D794" t="s">
        <v>167</v>
      </c>
      <c r="E794" t="s">
        <v>78</v>
      </c>
      <c r="G794" t="s">
        <v>79</v>
      </c>
      <c r="H794">
        <v>1</v>
      </c>
      <c r="I794">
        <v>1260</v>
      </c>
      <c r="J794" s="5">
        <f t="shared" si="54"/>
        <v>1260</v>
      </c>
    </row>
    <row r="795" spans="2:13" hidden="1" x14ac:dyDescent="0.25">
      <c r="B795" s="1">
        <v>44105</v>
      </c>
      <c r="C795" t="str">
        <f t="shared" si="53"/>
        <v>octubre</v>
      </c>
      <c r="D795" t="s">
        <v>167</v>
      </c>
      <c r="E795" t="s">
        <v>55</v>
      </c>
      <c r="G795" t="s">
        <v>417</v>
      </c>
      <c r="H795">
        <v>7.08</v>
      </c>
      <c r="I795">
        <v>268</v>
      </c>
      <c r="J795" s="5">
        <f t="shared" si="54"/>
        <v>1897.44</v>
      </c>
    </row>
    <row r="796" spans="2:13" hidden="1" x14ac:dyDescent="0.25">
      <c r="B796" s="1">
        <v>44105</v>
      </c>
      <c r="C796" t="str">
        <f t="shared" si="53"/>
        <v>octubre</v>
      </c>
      <c r="D796" t="s">
        <v>167</v>
      </c>
      <c r="E796" t="s">
        <v>55</v>
      </c>
      <c r="G796" t="s">
        <v>22</v>
      </c>
      <c r="H796">
        <v>7.08</v>
      </c>
      <c r="I796">
        <v>268</v>
      </c>
      <c r="J796" s="5">
        <f t="shared" si="54"/>
        <v>1897.44</v>
      </c>
    </row>
    <row r="797" spans="2:13" hidden="1" x14ac:dyDescent="0.25">
      <c r="B797" s="1">
        <v>44105</v>
      </c>
      <c r="C797" t="str">
        <f t="shared" si="53"/>
        <v>octubre</v>
      </c>
      <c r="D797" t="s">
        <v>167</v>
      </c>
      <c r="E797" t="s">
        <v>55</v>
      </c>
      <c r="G797" t="s">
        <v>254</v>
      </c>
      <c r="H797">
        <v>2</v>
      </c>
      <c r="I797">
        <v>268</v>
      </c>
      <c r="J797" s="5">
        <f t="shared" si="54"/>
        <v>536</v>
      </c>
    </row>
    <row r="798" spans="2:13" hidden="1" x14ac:dyDescent="0.25">
      <c r="B798" s="1">
        <v>44105</v>
      </c>
      <c r="C798" t="str">
        <f t="shared" si="53"/>
        <v>octubre</v>
      </c>
      <c r="D798" t="s">
        <v>167</v>
      </c>
      <c r="E798" t="s">
        <v>55</v>
      </c>
      <c r="G798" t="s">
        <v>116</v>
      </c>
      <c r="H798">
        <v>2</v>
      </c>
      <c r="I798">
        <v>268</v>
      </c>
      <c r="J798" s="5">
        <f t="shared" si="54"/>
        <v>536</v>
      </c>
    </row>
    <row r="799" spans="2:13" hidden="1" x14ac:dyDescent="0.25">
      <c r="B799" s="1">
        <v>44105</v>
      </c>
      <c r="C799" t="str">
        <f t="shared" si="53"/>
        <v>octubre</v>
      </c>
      <c r="D799" t="s">
        <v>167</v>
      </c>
      <c r="E799" t="s">
        <v>55</v>
      </c>
      <c r="G799" t="s">
        <v>595</v>
      </c>
      <c r="H799">
        <v>4.2480000000000002</v>
      </c>
      <c r="I799">
        <v>268</v>
      </c>
      <c r="J799" s="5">
        <f t="shared" si="54"/>
        <v>1138.4640000000002</v>
      </c>
      <c r="L799" s="56"/>
      <c r="M799" s="56"/>
    </row>
    <row r="800" spans="2:13" hidden="1" x14ac:dyDescent="0.25">
      <c r="B800" s="1">
        <v>44105</v>
      </c>
      <c r="C800" t="str">
        <f t="shared" si="53"/>
        <v>octubre</v>
      </c>
      <c r="D800" t="s">
        <v>167</v>
      </c>
      <c r="E800" t="s">
        <v>55</v>
      </c>
      <c r="G800" t="s">
        <v>596</v>
      </c>
      <c r="H800">
        <v>3</v>
      </c>
      <c r="I800">
        <v>283</v>
      </c>
      <c r="J800" s="5">
        <f t="shared" si="54"/>
        <v>849</v>
      </c>
      <c r="L800" s="56"/>
    </row>
    <row r="801" spans="2:15" hidden="1" x14ac:dyDescent="0.25">
      <c r="B801" s="1">
        <v>44105</v>
      </c>
      <c r="C801" t="str">
        <f t="shared" si="53"/>
        <v>octubre</v>
      </c>
      <c r="D801" t="s">
        <v>167</v>
      </c>
      <c r="E801" t="s">
        <v>15</v>
      </c>
      <c r="G801" t="s">
        <v>356</v>
      </c>
      <c r="H801">
        <v>20</v>
      </c>
      <c r="I801">
        <v>20</v>
      </c>
      <c r="J801" s="5">
        <f t="shared" si="54"/>
        <v>400</v>
      </c>
    </row>
    <row r="802" spans="2:15" hidden="1" x14ac:dyDescent="0.25">
      <c r="B802" s="1">
        <v>44105</v>
      </c>
      <c r="C802" t="str">
        <f t="shared" si="53"/>
        <v>octubre</v>
      </c>
      <c r="D802" t="s">
        <v>167</v>
      </c>
      <c r="E802" t="s">
        <v>15</v>
      </c>
      <c r="G802" t="s">
        <v>490</v>
      </c>
      <c r="H802">
        <v>20</v>
      </c>
      <c r="I802">
        <v>207</v>
      </c>
      <c r="J802" s="5">
        <f t="shared" si="54"/>
        <v>4140</v>
      </c>
      <c r="L802" s="56"/>
      <c r="M802" s="56"/>
    </row>
    <row r="803" spans="2:15" hidden="1" x14ac:dyDescent="0.25">
      <c r="B803" s="1">
        <v>44105</v>
      </c>
      <c r="C803" t="str">
        <f t="shared" si="53"/>
        <v>octubre</v>
      </c>
      <c r="D803" t="s">
        <v>167</v>
      </c>
      <c r="E803" t="s">
        <v>15</v>
      </c>
      <c r="G803" t="s">
        <v>525</v>
      </c>
      <c r="H803">
        <v>10</v>
      </c>
      <c r="I803">
        <v>219</v>
      </c>
      <c r="J803" s="5">
        <f t="shared" si="54"/>
        <v>2190</v>
      </c>
    </row>
    <row r="804" spans="2:15" hidden="1" x14ac:dyDescent="0.25">
      <c r="B804" s="1">
        <v>44105</v>
      </c>
      <c r="C804" t="str">
        <f t="shared" si="53"/>
        <v>octubre</v>
      </c>
      <c r="D804" t="s">
        <v>167</v>
      </c>
      <c r="E804" t="s">
        <v>85</v>
      </c>
      <c r="G804" t="s">
        <v>253</v>
      </c>
      <c r="H804">
        <v>3</v>
      </c>
      <c r="I804">
        <v>395</v>
      </c>
      <c r="J804" s="5">
        <f t="shared" si="54"/>
        <v>1185</v>
      </c>
    </row>
    <row r="805" spans="2:15" hidden="1" x14ac:dyDescent="0.25">
      <c r="B805" s="1">
        <v>44105</v>
      </c>
      <c r="C805" t="str">
        <f t="shared" si="53"/>
        <v>octubre</v>
      </c>
      <c r="D805" t="s">
        <v>167</v>
      </c>
      <c r="E805" t="s">
        <v>15</v>
      </c>
      <c r="G805" t="s">
        <v>233</v>
      </c>
      <c r="H805">
        <v>2</v>
      </c>
      <c r="I805">
        <v>268</v>
      </c>
      <c r="J805" s="5">
        <f t="shared" si="54"/>
        <v>536</v>
      </c>
    </row>
    <row r="806" spans="2:15" hidden="1" x14ac:dyDescent="0.25">
      <c r="B806" s="1">
        <v>44105</v>
      </c>
      <c r="C806" t="str">
        <f t="shared" si="53"/>
        <v>octubre</v>
      </c>
      <c r="D806" t="s">
        <v>167</v>
      </c>
      <c r="E806" t="s">
        <v>85</v>
      </c>
      <c r="G806" t="s">
        <v>597</v>
      </c>
      <c r="H806">
        <v>1</v>
      </c>
      <c r="I806">
        <v>573</v>
      </c>
      <c r="J806" s="5">
        <f t="shared" si="54"/>
        <v>573</v>
      </c>
    </row>
    <row r="807" spans="2:15" hidden="1" x14ac:dyDescent="0.25">
      <c r="B807" s="1">
        <v>44105</v>
      </c>
      <c r="C807" t="str">
        <f t="shared" si="53"/>
        <v>octubre</v>
      </c>
      <c r="D807" t="s">
        <v>167</v>
      </c>
      <c r="E807" t="s">
        <v>85</v>
      </c>
      <c r="G807" t="s">
        <v>598</v>
      </c>
      <c r="H807">
        <v>1</v>
      </c>
      <c r="I807">
        <v>427</v>
      </c>
      <c r="J807" s="5">
        <f t="shared" si="54"/>
        <v>427</v>
      </c>
    </row>
    <row r="808" spans="2:15" hidden="1" x14ac:dyDescent="0.25">
      <c r="B808" s="1">
        <v>44105</v>
      </c>
      <c r="C808" t="str">
        <f t="shared" si="53"/>
        <v>octubre</v>
      </c>
      <c r="D808" t="s">
        <v>167</v>
      </c>
      <c r="E808" t="s">
        <v>15</v>
      </c>
      <c r="G808" t="s">
        <v>517</v>
      </c>
      <c r="H808">
        <v>20</v>
      </c>
      <c r="I808">
        <v>218</v>
      </c>
      <c r="J808" s="5">
        <f t="shared" si="54"/>
        <v>4360</v>
      </c>
    </row>
    <row r="809" spans="2:15" hidden="1" x14ac:dyDescent="0.25">
      <c r="B809" s="1">
        <v>44105</v>
      </c>
      <c r="C809" t="str">
        <f t="shared" si="53"/>
        <v>octubre</v>
      </c>
      <c r="D809" t="s">
        <v>167</v>
      </c>
      <c r="E809" t="s">
        <v>15</v>
      </c>
      <c r="G809" t="s">
        <v>424</v>
      </c>
      <c r="H809">
        <v>10</v>
      </c>
      <c r="I809">
        <v>210</v>
      </c>
      <c r="J809" s="5">
        <f t="shared" si="54"/>
        <v>2100</v>
      </c>
    </row>
    <row r="810" spans="2:15" hidden="1" x14ac:dyDescent="0.25">
      <c r="B810" s="1">
        <v>44105</v>
      </c>
      <c r="C810" t="str">
        <f t="shared" si="53"/>
        <v>octubre</v>
      </c>
      <c r="D810" t="s">
        <v>167</v>
      </c>
      <c r="E810" t="s">
        <v>15</v>
      </c>
      <c r="G810" t="s">
        <v>519</v>
      </c>
      <c r="H810">
        <v>5</v>
      </c>
      <c r="I810">
        <v>218</v>
      </c>
      <c r="J810" s="5">
        <f t="shared" si="54"/>
        <v>1090</v>
      </c>
    </row>
    <row r="811" spans="2:15" hidden="1" x14ac:dyDescent="0.25">
      <c r="B811" s="1">
        <v>44105</v>
      </c>
      <c r="C811" t="str">
        <f t="shared" si="53"/>
        <v>octubre</v>
      </c>
      <c r="D811" t="s">
        <v>167</v>
      </c>
      <c r="E811" t="s">
        <v>55</v>
      </c>
      <c r="G811" t="s">
        <v>599</v>
      </c>
      <c r="H811">
        <v>20</v>
      </c>
      <c r="I811">
        <v>207</v>
      </c>
      <c r="J811" s="5">
        <f t="shared" si="54"/>
        <v>4140</v>
      </c>
      <c r="L811" s="56"/>
      <c r="M811" s="56"/>
    </row>
    <row r="812" spans="2:15" hidden="1" x14ac:dyDescent="0.25">
      <c r="B812" s="1">
        <v>44105</v>
      </c>
      <c r="C812" t="str">
        <f t="shared" si="53"/>
        <v>octubre</v>
      </c>
      <c r="D812" t="s">
        <v>167</v>
      </c>
      <c r="E812" t="s">
        <v>55</v>
      </c>
      <c r="G812" t="s">
        <v>422</v>
      </c>
      <c r="H812">
        <v>10</v>
      </c>
      <c r="I812">
        <v>207</v>
      </c>
      <c r="J812" s="5">
        <f t="shared" si="54"/>
        <v>2070</v>
      </c>
      <c r="L812" s="56"/>
      <c r="M812" s="56"/>
      <c r="O812" s="56"/>
    </row>
    <row r="813" spans="2:15" hidden="1" x14ac:dyDescent="0.25">
      <c r="B813" s="1">
        <v>44105</v>
      </c>
      <c r="C813" t="str">
        <f t="shared" si="53"/>
        <v>octubre</v>
      </c>
      <c r="D813" t="s">
        <v>167</v>
      </c>
      <c r="E813" t="s">
        <v>55</v>
      </c>
      <c r="G813" t="s">
        <v>433</v>
      </c>
      <c r="H813">
        <v>3</v>
      </c>
      <c r="I813">
        <v>207</v>
      </c>
      <c r="J813" s="5">
        <f t="shared" si="54"/>
        <v>621</v>
      </c>
      <c r="L813" s="56"/>
      <c r="M813" s="56"/>
    </row>
    <row r="814" spans="2:15" hidden="1" x14ac:dyDescent="0.25">
      <c r="B814" s="1">
        <v>44112</v>
      </c>
      <c r="C814" t="str">
        <f t="shared" si="53"/>
        <v>octubre</v>
      </c>
      <c r="D814" t="s">
        <v>167</v>
      </c>
      <c r="E814" t="s">
        <v>15</v>
      </c>
      <c r="G814" t="s">
        <v>17</v>
      </c>
      <c r="H814">
        <v>10.166700000000001</v>
      </c>
      <c r="I814">
        <v>306</v>
      </c>
      <c r="J814" s="5">
        <f t="shared" si="54"/>
        <v>3111.0102000000002</v>
      </c>
      <c r="L814" s="56"/>
      <c r="M814" s="56"/>
    </row>
    <row r="815" spans="2:15" hidden="1" x14ac:dyDescent="0.25">
      <c r="B815" s="1">
        <v>44112</v>
      </c>
      <c r="C815" t="str">
        <f t="shared" si="53"/>
        <v>octubre</v>
      </c>
      <c r="D815" t="s">
        <v>167</v>
      </c>
      <c r="E815" t="s">
        <v>15</v>
      </c>
      <c r="G815" t="s">
        <v>600</v>
      </c>
      <c r="H815">
        <v>21.146799999999999</v>
      </c>
      <c r="I815">
        <v>290</v>
      </c>
      <c r="J815" s="5">
        <f t="shared" si="54"/>
        <v>6132.5720000000001</v>
      </c>
    </row>
    <row r="816" spans="2:15" hidden="1" x14ac:dyDescent="0.25">
      <c r="B816" s="1">
        <v>44112</v>
      </c>
      <c r="C816" t="str">
        <f t="shared" si="53"/>
        <v>octubre</v>
      </c>
      <c r="D816" t="s">
        <v>167</v>
      </c>
      <c r="E816" t="s">
        <v>15</v>
      </c>
      <c r="G816" t="s">
        <v>104</v>
      </c>
      <c r="H816">
        <v>20</v>
      </c>
      <c r="I816">
        <v>268</v>
      </c>
      <c r="J816" s="5">
        <f t="shared" si="54"/>
        <v>5360</v>
      </c>
      <c r="L816" s="56"/>
      <c r="M816" s="56"/>
    </row>
    <row r="817" spans="2:13" hidden="1" x14ac:dyDescent="0.25">
      <c r="B817" s="1">
        <v>44112</v>
      </c>
      <c r="C817" t="str">
        <f t="shared" si="53"/>
        <v>octubre</v>
      </c>
      <c r="D817" t="s">
        <v>167</v>
      </c>
      <c r="E817" t="s">
        <v>15</v>
      </c>
      <c r="G817" t="s">
        <v>312</v>
      </c>
      <c r="H817">
        <v>10</v>
      </c>
      <c r="I817">
        <v>268</v>
      </c>
      <c r="J817" s="5">
        <f t="shared" si="54"/>
        <v>2680</v>
      </c>
    </row>
    <row r="818" spans="2:13" hidden="1" x14ac:dyDescent="0.25">
      <c r="B818" s="1">
        <v>44112</v>
      </c>
      <c r="C818" t="str">
        <f t="shared" si="53"/>
        <v>octubre</v>
      </c>
      <c r="D818" t="s">
        <v>167</v>
      </c>
      <c r="E818" t="s">
        <v>15</v>
      </c>
      <c r="G818" t="s">
        <v>493</v>
      </c>
      <c r="H818">
        <v>5</v>
      </c>
      <c r="I818">
        <v>268</v>
      </c>
      <c r="J818" s="5">
        <f t="shared" si="54"/>
        <v>1340</v>
      </c>
    </row>
    <row r="819" spans="2:13" hidden="1" x14ac:dyDescent="0.25">
      <c r="B819" s="1">
        <v>44112</v>
      </c>
      <c r="C819" t="str">
        <f t="shared" si="53"/>
        <v>octubre</v>
      </c>
      <c r="D819" t="s">
        <v>167</v>
      </c>
      <c r="E819" t="s">
        <v>15</v>
      </c>
      <c r="G819" t="s">
        <v>414</v>
      </c>
      <c r="H819">
        <v>5</v>
      </c>
      <c r="I819">
        <v>268</v>
      </c>
      <c r="J819" s="5">
        <f t="shared" si="54"/>
        <v>1340</v>
      </c>
    </row>
    <row r="820" spans="2:13" hidden="1" x14ac:dyDescent="0.25">
      <c r="B820" s="1">
        <v>44112</v>
      </c>
      <c r="C820" t="str">
        <f t="shared" si="53"/>
        <v>octubre</v>
      </c>
      <c r="D820" t="s">
        <v>167</v>
      </c>
      <c r="E820" t="s">
        <v>26</v>
      </c>
      <c r="G820" t="s">
        <v>531</v>
      </c>
      <c r="H820">
        <v>20.160499999999999</v>
      </c>
      <c r="I820">
        <v>350</v>
      </c>
      <c r="J820" s="5">
        <f t="shared" si="54"/>
        <v>7056.1749999999993</v>
      </c>
    </row>
    <row r="821" spans="2:13" hidden="1" x14ac:dyDescent="0.25">
      <c r="B821" s="1">
        <v>44112</v>
      </c>
      <c r="C821" t="str">
        <f t="shared" si="53"/>
        <v>octubre</v>
      </c>
      <c r="D821" t="s">
        <v>167</v>
      </c>
      <c r="E821" t="s">
        <v>26</v>
      </c>
      <c r="G821" t="s">
        <v>592</v>
      </c>
      <c r="H821">
        <v>20.160499999999999</v>
      </c>
      <c r="I821">
        <v>350</v>
      </c>
      <c r="J821" s="5">
        <f t="shared" si="54"/>
        <v>7056.1749999999993</v>
      </c>
    </row>
    <row r="822" spans="2:13" hidden="1" x14ac:dyDescent="0.25">
      <c r="B822" s="1">
        <v>44112</v>
      </c>
      <c r="C822" t="str">
        <f t="shared" si="53"/>
        <v>octubre</v>
      </c>
      <c r="D822" t="s">
        <v>167</v>
      </c>
      <c r="E822" t="s">
        <v>70</v>
      </c>
      <c r="G822" t="s">
        <v>420</v>
      </c>
      <c r="H822">
        <v>1</v>
      </c>
      <c r="I822">
        <v>2760</v>
      </c>
      <c r="J822" s="5">
        <f t="shared" si="54"/>
        <v>2760</v>
      </c>
    </row>
    <row r="823" spans="2:13" hidden="1" x14ac:dyDescent="0.25">
      <c r="B823" s="1">
        <v>44112</v>
      </c>
      <c r="C823" t="str">
        <f t="shared" si="53"/>
        <v>octubre</v>
      </c>
      <c r="D823" t="s">
        <v>167</v>
      </c>
      <c r="E823" t="s">
        <v>70</v>
      </c>
      <c r="G823" t="s">
        <v>227</v>
      </c>
      <c r="H823">
        <v>5</v>
      </c>
      <c r="I823">
        <v>1440</v>
      </c>
      <c r="J823" s="5">
        <f t="shared" si="54"/>
        <v>7200</v>
      </c>
    </row>
    <row r="824" spans="2:13" hidden="1" x14ac:dyDescent="0.25">
      <c r="B824" s="1">
        <v>44118</v>
      </c>
      <c r="C824" t="str">
        <f t="shared" si="53"/>
        <v>octubre</v>
      </c>
      <c r="D824" t="s">
        <v>167</v>
      </c>
      <c r="E824" t="s">
        <v>15</v>
      </c>
      <c r="G824" t="s">
        <v>510</v>
      </c>
      <c r="H824">
        <v>10.166700000000001</v>
      </c>
      <c r="I824">
        <v>290</v>
      </c>
      <c r="J824" s="5">
        <f t="shared" si="54"/>
        <v>2948.3430000000003</v>
      </c>
    </row>
    <row r="825" spans="2:13" hidden="1" x14ac:dyDescent="0.25">
      <c r="B825" s="1">
        <v>44120</v>
      </c>
      <c r="C825" t="str">
        <f t="shared" si="53"/>
        <v>octubre</v>
      </c>
      <c r="D825" t="s">
        <v>167</v>
      </c>
      <c r="E825" t="s">
        <v>55</v>
      </c>
      <c r="G825" t="s">
        <v>22</v>
      </c>
      <c r="H825">
        <v>14.16</v>
      </c>
      <c r="I825">
        <v>268</v>
      </c>
      <c r="J825" s="5">
        <f t="shared" si="54"/>
        <v>3794.88</v>
      </c>
    </row>
    <row r="826" spans="2:13" hidden="1" x14ac:dyDescent="0.25">
      <c r="B826" s="1">
        <v>44120</v>
      </c>
      <c r="C826" t="str">
        <f t="shared" si="53"/>
        <v>octubre</v>
      </c>
      <c r="D826" t="s">
        <v>167</v>
      </c>
      <c r="E826" t="s">
        <v>15</v>
      </c>
      <c r="G826" t="s">
        <v>346</v>
      </c>
      <c r="H826">
        <v>10</v>
      </c>
      <c r="I826">
        <v>210</v>
      </c>
      <c r="J826" s="5">
        <f t="shared" si="54"/>
        <v>2100</v>
      </c>
    </row>
    <row r="827" spans="2:13" hidden="1" x14ac:dyDescent="0.25">
      <c r="B827" s="1">
        <v>44120</v>
      </c>
      <c r="C827" t="str">
        <f t="shared" si="53"/>
        <v>octubre</v>
      </c>
      <c r="D827" t="s">
        <v>167</v>
      </c>
      <c r="E827" t="s">
        <v>55</v>
      </c>
      <c r="G827" t="s">
        <v>577</v>
      </c>
      <c r="H827">
        <v>5</v>
      </c>
      <c r="I827">
        <v>268</v>
      </c>
      <c r="J827" s="5">
        <f t="shared" si="54"/>
        <v>1340</v>
      </c>
    </row>
    <row r="828" spans="2:13" hidden="1" x14ac:dyDescent="0.25">
      <c r="B828" s="1">
        <v>44120</v>
      </c>
      <c r="C828" t="str">
        <f t="shared" si="53"/>
        <v>octubre</v>
      </c>
      <c r="D828" t="s">
        <v>167</v>
      </c>
      <c r="E828" t="s">
        <v>55</v>
      </c>
      <c r="G828" t="s">
        <v>432</v>
      </c>
      <c r="H828">
        <v>5</v>
      </c>
      <c r="I828">
        <v>268</v>
      </c>
      <c r="J828" s="5">
        <f t="shared" si="54"/>
        <v>1340</v>
      </c>
    </row>
    <row r="829" spans="2:13" hidden="1" x14ac:dyDescent="0.25">
      <c r="B829" s="1">
        <v>44120</v>
      </c>
      <c r="C829" t="str">
        <f t="shared" si="53"/>
        <v>octubre</v>
      </c>
      <c r="D829" t="s">
        <v>167</v>
      </c>
      <c r="E829" t="s">
        <v>78</v>
      </c>
      <c r="G829" t="s">
        <v>79</v>
      </c>
      <c r="H829">
        <v>1</v>
      </c>
      <c r="I829">
        <v>1315</v>
      </c>
      <c r="J829" s="5">
        <f t="shared" si="54"/>
        <v>1315</v>
      </c>
    </row>
    <row r="830" spans="2:13" hidden="1" x14ac:dyDescent="0.25">
      <c r="B830" s="1">
        <v>44120</v>
      </c>
      <c r="C830" t="str">
        <f t="shared" si="53"/>
        <v>octubre</v>
      </c>
      <c r="D830" t="s">
        <v>167</v>
      </c>
      <c r="E830" t="s">
        <v>15</v>
      </c>
      <c r="G830" t="s">
        <v>421</v>
      </c>
      <c r="H830">
        <v>10</v>
      </c>
      <c r="I830">
        <v>253</v>
      </c>
      <c r="J830" s="5">
        <f t="shared" si="54"/>
        <v>2530</v>
      </c>
      <c r="L830" s="56"/>
      <c r="M830" s="56"/>
    </row>
    <row r="831" spans="2:13" hidden="1" x14ac:dyDescent="0.25">
      <c r="B831" s="1">
        <v>44120</v>
      </c>
      <c r="C831" t="str">
        <f t="shared" si="53"/>
        <v>octubre</v>
      </c>
      <c r="D831" t="s">
        <v>167</v>
      </c>
      <c r="E831" t="s">
        <v>15</v>
      </c>
      <c r="G831" t="s">
        <v>397</v>
      </c>
      <c r="H831">
        <v>20</v>
      </c>
      <c r="I831">
        <v>219</v>
      </c>
      <c r="J831" s="5">
        <f t="shared" si="54"/>
        <v>4380</v>
      </c>
    </row>
    <row r="832" spans="2:13" hidden="1" x14ac:dyDescent="0.25">
      <c r="B832" s="1">
        <v>44120</v>
      </c>
      <c r="C832" t="str">
        <f t="shared" si="53"/>
        <v>octubre</v>
      </c>
      <c r="D832" t="s">
        <v>167</v>
      </c>
      <c r="E832" t="s">
        <v>15</v>
      </c>
      <c r="G832" t="s">
        <v>490</v>
      </c>
      <c r="H832">
        <v>30</v>
      </c>
      <c r="I832">
        <v>207</v>
      </c>
      <c r="J832" s="5">
        <f t="shared" si="54"/>
        <v>6210</v>
      </c>
      <c r="L832" s="56"/>
      <c r="M832" s="56"/>
    </row>
    <row r="833" spans="2:13" hidden="1" x14ac:dyDescent="0.25">
      <c r="B833" s="1">
        <v>44120</v>
      </c>
      <c r="C833" t="str">
        <f t="shared" si="53"/>
        <v>octubre</v>
      </c>
      <c r="D833" t="s">
        <v>167</v>
      </c>
      <c r="E833" t="s">
        <v>70</v>
      </c>
      <c r="G833" t="s">
        <v>584</v>
      </c>
      <c r="H833">
        <v>3</v>
      </c>
      <c r="I833">
        <v>311</v>
      </c>
      <c r="J833" s="5">
        <f t="shared" si="54"/>
        <v>933</v>
      </c>
      <c r="L833" s="56"/>
      <c r="M833" s="56"/>
    </row>
    <row r="834" spans="2:13" hidden="1" x14ac:dyDescent="0.25">
      <c r="B834" s="1">
        <v>44120</v>
      </c>
      <c r="C834" t="str">
        <f t="shared" ref="C834:C896" si="55">+TEXT(B834,"mmmm")</f>
        <v>octubre</v>
      </c>
      <c r="D834" t="s">
        <v>167</v>
      </c>
      <c r="E834" t="s">
        <v>26</v>
      </c>
      <c r="G834" t="s">
        <v>601</v>
      </c>
      <c r="H834">
        <v>10.0802</v>
      </c>
      <c r="I834">
        <v>350</v>
      </c>
      <c r="J834" s="5">
        <f t="shared" ref="J834:J896" si="56">+H834*I834</f>
        <v>3528.0699999999997</v>
      </c>
    </row>
    <row r="835" spans="2:13" hidden="1" x14ac:dyDescent="0.25">
      <c r="B835" s="1">
        <v>44130</v>
      </c>
      <c r="C835" t="str">
        <f t="shared" si="55"/>
        <v>octubre</v>
      </c>
      <c r="D835" t="s">
        <v>167</v>
      </c>
      <c r="E835" t="s">
        <v>55</v>
      </c>
      <c r="G835" t="s">
        <v>135</v>
      </c>
      <c r="H835">
        <v>5</v>
      </c>
      <c r="I835">
        <v>268</v>
      </c>
      <c r="J835" s="5">
        <f t="shared" si="56"/>
        <v>1340</v>
      </c>
    </row>
    <row r="836" spans="2:13" hidden="1" x14ac:dyDescent="0.25">
      <c r="B836" s="1">
        <v>44130</v>
      </c>
      <c r="C836" t="str">
        <f t="shared" si="55"/>
        <v>octubre</v>
      </c>
      <c r="D836" t="s">
        <v>167</v>
      </c>
      <c r="E836" t="s">
        <v>55</v>
      </c>
      <c r="G836" t="s">
        <v>39</v>
      </c>
      <c r="H836">
        <v>7.08</v>
      </c>
      <c r="I836">
        <v>268</v>
      </c>
      <c r="J836" s="5">
        <f t="shared" si="56"/>
        <v>1897.44</v>
      </c>
    </row>
    <row r="837" spans="2:13" hidden="1" x14ac:dyDescent="0.25">
      <c r="B837" s="1">
        <v>44130</v>
      </c>
      <c r="C837" t="str">
        <f t="shared" si="55"/>
        <v>octubre</v>
      </c>
      <c r="D837" t="s">
        <v>167</v>
      </c>
      <c r="E837" t="s">
        <v>55</v>
      </c>
      <c r="G837" t="s">
        <v>89</v>
      </c>
      <c r="H837">
        <v>14.16</v>
      </c>
      <c r="I837">
        <v>268</v>
      </c>
      <c r="J837" s="5">
        <f t="shared" si="56"/>
        <v>3794.88</v>
      </c>
    </row>
    <row r="838" spans="2:13" hidden="1" x14ac:dyDescent="0.25">
      <c r="B838" s="1">
        <v>44130</v>
      </c>
      <c r="C838" t="str">
        <f t="shared" si="55"/>
        <v>octubre</v>
      </c>
      <c r="D838" t="s">
        <v>167</v>
      </c>
      <c r="E838" t="s">
        <v>55</v>
      </c>
      <c r="G838" t="s">
        <v>473</v>
      </c>
      <c r="H838">
        <v>20</v>
      </c>
      <c r="I838">
        <v>207</v>
      </c>
      <c r="J838" s="5">
        <f t="shared" si="56"/>
        <v>4140</v>
      </c>
      <c r="L838" s="56"/>
      <c r="M838" s="56"/>
    </row>
    <row r="839" spans="2:13" hidden="1" x14ac:dyDescent="0.25">
      <c r="B839" s="1">
        <v>44130</v>
      </c>
      <c r="C839" t="str">
        <f t="shared" si="55"/>
        <v>octubre</v>
      </c>
      <c r="D839" t="s">
        <v>167</v>
      </c>
      <c r="E839" t="s">
        <v>55</v>
      </c>
      <c r="G839" t="s">
        <v>416</v>
      </c>
      <c r="H839">
        <v>20</v>
      </c>
      <c r="I839">
        <v>207</v>
      </c>
      <c r="J839" s="5">
        <f t="shared" si="56"/>
        <v>4140</v>
      </c>
      <c r="L839" s="56"/>
      <c r="M839" s="56"/>
    </row>
    <row r="840" spans="2:13" hidden="1" x14ac:dyDescent="0.25">
      <c r="B840" s="1">
        <v>44130</v>
      </c>
      <c r="C840" t="str">
        <f t="shared" si="55"/>
        <v>octubre</v>
      </c>
      <c r="D840" t="s">
        <v>167</v>
      </c>
      <c r="E840" t="s">
        <v>55</v>
      </c>
      <c r="G840" t="s">
        <v>146</v>
      </c>
      <c r="H840">
        <v>7.08</v>
      </c>
      <c r="I840">
        <v>268</v>
      </c>
      <c r="J840" s="5">
        <f t="shared" si="56"/>
        <v>1897.44</v>
      </c>
      <c r="L840" s="56"/>
      <c r="M840" s="56"/>
    </row>
    <row r="841" spans="2:13" hidden="1" x14ac:dyDescent="0.25">
      <c r="B841" s="1">
        <v>44130</v>
      </c>
      <c r="C841" t="str">
        <f t="shared" si="55"/>
        <v>octubre</v>
      </c>
      <c r="D841" t="s">
        <v>167</v>
      </c>
      <c r="E841" t="s">
        <v>15</v>
      </c>
      <c r="G841" t="s">
        <v>421</v>
      </c>
      <c r="H841">
        <v>17</v>
      </c>
      <c r="I841">
        <v>253</v>
      </c>
      <c r="J841" s="5">
        <f t="shared" si="56"/>
        <v>4301</v>
      </c>
      <c r="L841" s="56"/>
      <c r="M841" s="56"/>
    </row>
    <row r="842" spans="2:13" hidden="1" x14ac:dyDescent="0.25">
      <c r="B842" s="1">
        <v>44130</v>
      </c>
      <c r="C842" t="str">
        <f t="shared" si="55"/>
        <v>octubre</v>
      </c>
      <c r="D842" t="s">
        <v>167</v>
      </c>
      <c r="E842" t="s">
        <v>205</v>
      </c>
      <c r="G842" t="s">
        <v>369</v>
      </c>
      <c r="H842">
        <v>1.0900000000000001</v>
      </c>
      <c r="I842">
        <v>391</v>
      </c>
      <c r="J842" s="5">
        <f t="shared" si="56"/>
        <v>426.19000000000005</v>
      </c>
      <c r="L842" s="56"/>
      <c r="M842" s="56"/>
    </row>
    <row r="843" spans="2:13" hidden="1" x14ac:dyDescent="0.25">
      <c r="B843" s="1">
        <v>44130</v>
      </c>
      <c r="C843" t="str">
        <f t="shared" si="55"/>
        <v>octubre</v>
      </c>
      <c r="D843" t="s">
        <v>167</v>
      </c>
      <c r="E843" t="s">
        <v>55</v>
      </c>
      <c r="G843" t="s">
        <v>102</v>
      </c>
      <c r="H843">
        <v>5</v>
      </c>
      <c r="I843">
        <v>268</v>
      </c>
      <c r="J843" s="5">
        <f t="shared" si="56"/>
        <v>1340</v>
      </c>
      <c r="L843" s="56"/>
    </row>
    <row r="844" spans="2:13" hidden="1" x14ac:dyDescent="0.25">
      <c r="B844" s="1">
        <v>44130</v>
      </c>
      <c r="C844" t="str">
        <f t="shared" si="55"/>
        <v>octubre</v>
      </c>
      <c r="D844" t="s">
        <v>167</v>
      </c>
      <c r="E844" t="s">
        <v>70</v>
      </c>
      <c r="G844" t="s">
        <v>602</v>
      </c>
      <c r="H844">
        <v>4</v>
      </c>
      <c r="I844">
        <v>262</v>
      </c>
      <c r="J844" s="5">
        <f t="shared" si="56"/>
        <v>1048</v>
      </c>
    </row>
    <row r="845" spans="2:13" hidden="1" x14ac:dyDescent="0.25">
      <c r="B845" s="1">
        <v>44134</v>
      </c>
      <c r="C845" t="str">
        <f t="shared" si="55"/>
        <v>octubre</v>
      </c>
      <c r="D845" t="s">
        <v>167</v>
      </c>
      <c r="E845" t="s">
        <v>15</v>
      </c>
      <c r="G845" t="s">
        <v>104</v>
      </c>
      <c r="H845">
        <v>30</v>
      </c>
      <c r="I845">
        <v>268</v>
      </c>
      <c r="J845" s="5">
        <f t="shared" si="56"/>
        <v>8040</v>
      </c>
      <c r="L845" s="56"/>
      <c r="M845" s="56"/>
    </row>
    <row r="846" spans="2:13" hidden="1" x14ac:dyDescent="0.25">
      <c r="B846" s="1">
        <v>44134</v>
      </c>
      <c r="C846" t="str">
        <f t="shared" si="55"/>
        <v>octubre</v>
      </c>
      <c r="D846" t="s">
        <v>167</v>
      </c>
      <c r="E846" t="s">
        <v>55</v>
      </c>
      <c r="G846" t="s">
        <v>22</v>
      </c>
      <c r="H846">
        <v>14.6</v>
      </c>
      <c r="I846">
        <v>268</v>
      </c>
      <c r="J846" s="5">
        <f t="shared" si="56"/>
        <v>3912.7999999999997</v>
      </c>
    </row>
    <row r="847" spans="2:13" hidden="1" x14ac:dyDescent="0.25">
      <c r="B847" s="1">
        <v>44134</v>
      </c>
      <c r="C847" t="str">
        <f t="shared" si="55"/>
        <v>octubre</v>
      </c>
      <c r="D847" t="s">
        <v>167</v>
      </c>
      <c r="E847" t="s">
        <v>15</v>
      </c>
      <c r="G847" t="s">
        <v>21</v>
      </c>
      <c r="H847">
        <v>5</v>
      </c>
      <c r="I847">
        <v>268</v>
      </c>
      <c r="J847" s="5">
        <f t="shared" si="56"/>
        <v>1340</v>
      </c>
    </row>
    <row r="848" spans="2:13" hidden="1" x14ac:dyDescent="0.25">
      <c r="B848" s="1">
        <v>44134</v>
      </c>
      <c r="C848" t="str">
        <f t="shared" si="55"/>
        <v>octubre</v>
      </c>
      <c r="D848" t="s">
        <v>167</v>
      </c>
      <c r="E848" t="s">
        <v>15</v>
      </c>
      <c r="G848" t="s">
        <v>493</v>
      </c>
      <c r="H848">
        <v>5</v>
      </c>
      <c r="I848">
        <v>268</v>
      </c>
      <c r="J848" s="5">
        <f t="shared" si="56"/>
        <v>1340</v>
      </c>
    </row>
    <row r="849" spans="2:13" hidden="1" x14ac:dyDescent="0.25">
      <c r="B849" s="1">
        <v>44134</v>
      </c>
      <c r="C849" t="str">
        <f t="shared" si="55"/>
        <v>octubre</v>
      </c>
      <c r="D849" t="s">
        <v>167</v>
      </c>
      <c r="E849" t="s">
        <v>15</v>
      </c>
      <c r="G849" t="s">
        <v>414</v>
      </c>
      <c r="H849">
        <v>5</v>
      </c>
      <c r="I849">
        <v>268</v>
      </c>
      <c r="J849" s="5">
        <f t="shared" si="56"/>
        <v>1340</v>
      </c>
    </row>
    <row r="850" spans="2:13" hidden="1" x14ac:dyDescent="0.25">
      <c r="B850" s="1">
        <v>44134</v>
      </c>
      <c r="C850" t="str">
        <f t="shared" si="55"/>
        <v>octubre</v>
      </c>
      <c r="D850" t="s">
        <v>167</v>
      </c>
      <c r="E850" t="s">
        <v>15</v>
      </c>
      <c r="G850" t="s">
        <v>490</v>
      </c>
      <c r="H850">
        <v>20</v>
      </c>
      <c r="I850">
        <v>207</v>
      </c>
      <c r="J850" s="5">
        <f t="shared" si="56"/>
        <v>4140</v>
      </c>
      <c r="L850" s="56"/>
      <c r="M850" s="56"/>
    </row>
    <row r="851" spans="2:13" hidden="1" x14ac:dyDescent="0.25">
      <c r="B851" s="1">
        <v>44134</v>
      </c>
      <c r="C851" t="str">
        <f t="shared" si="55"/>
        <v>octubre</v>
      </c>
      <c r="D851" t="s">
        <v>167</v>
      </c>
      <c r="E851" t="s">
        <v>15</v>
      </c>
      <c r="G851" t="s">
        <v>424</v>
      </c>
      <c r="H851">
        <v>10</v>
      </c>
      <c r="I851">
        <v>210</v>
      </c>
      <c r="J851" s="5">
        <f t="shared" si="56"/>
        <v>2100</v>
      </c>
    </row>
    <row r="852" spans="2:13" hidden="1" x14ac:dyDescent="0.25">
      <c r="B852" s="1">
        <v>44134</v>
      </c>
      <c r="C852" t="str">
        <f t="shared" si="55"/>
        <v>octubre</v>
      </c>
      <c r="D852" t="s">
        <v>167</v>
      </c>
      <c r="E852" t="s">
        <v>15</v>
      </c>
      <c r="G852" t="s">
        <v>397</v>
      </c>
      <c r="H852">
        <v>10</v>
      </c>
      <c r="I852">
        <v>219</v>
      </c>
      <c r="J852" s="5">
        <f t="shared" si="56"/>
        <v>2190</v>
      </c>
    </row>
    <row r="853" spans="2:13" hidden="1" x14ac:dyDescent="0.25">
      <c r="B853" s="1">
        <v>44134</v>
      </c>
      <c r="C853" t="str">
        <f t="shared" si="55"/>
        <v>octubre</v>
      </c>
      <c r="D853" t="s">
        <v>167</v>
      </c>
      <c r="E853" t="s">
        <v>64</v>
      </c>
      <c r="G853" t="s">
        <v>603</v>
      </c>
      <c r="H853">
        <v>10.065</v>
      </c>
      <c r="I853">
        <v>332</v>
      </c>
      <c r="J853" s="5">
        <f t="shared" si="56"/>
        <v>3341.58</v>
      </c>
      <c r="L853" s="56"/>
      <c r="M853" s="56"/>
    </row>
    <row r="854" spans="2:13" hidden="1" x14ac:dyDescent="0.25">
      <c r="B854" s="1">
        <v>44134</v>
      </c>
      <c r="C854" t="str">
        <f t="shared" si="55"/>
        <v>octubre</v>
      </c>
      <c r="D854" t="s">
        <v>167</v>
      </c>
      <c r="E854" t="s">
        <v>15</v>
      </c>
      <c r="G854" t="s">
        <v>540</v>
      </c>
      <c r="H854">
        <v>30</v>
      </c>
      <c r="I854">
        <v>207</v>
      </c>
      <c r="J854" s="5">
        <f t="shared" si="56"/>
        <v>6210</v>
      </c>
      <c r="L854" s="56"/>
      <c r="M854" s="56"/>
    </row>
    <row r="855" spans="2:13" hidden="1" x14ac:dyDescent="0.25">
      <c r="B855" s="1">
        <v>44134</v>
      </c>
      <c r="C855" t="str">
        <f t="shared" si="55"/>
        <v>octubre</v>
      </c>
      <c r="D855" t="s">
        <v>167</v>
      </c>
      <c r="E855" t="s">
        <v>15</v>
      </c>
      <c r="G855" t="s">
        <v>604</v>
      </c>
      <c r="H855">
        <v>10</v>
      </c>
      <c r="I855">
        <v>207</v>
      </c>
      <c r="J855" s="5">
        <f t="shared" si="56"/>
        <v>2070</v>
      </c>
    </row>
    <row r="856" spans="2:13" hidden="1" x14ac:dyDescent="0.25">
      <c r="B856" s="1">
        <v>44134</v>
      </c>
      <c r="C856" t="str">
        <f t="shared" si="55"/>
        <v>octubre</v>
      </c>
      <c r="D856" t="s">
        <v>167</v>
      </c>
      <c r="E856" t="s">
        <v>70</v>
      </c>
      <c r="G856" t="s">
        <v>227</v>
      </c>
      <c r="H856">
        <v>5</v>
      </c>
      <c r="I856">
        <v>1440</v>
      </c>
      <c r="J856" s="5">
        <f t="shared" si="56"/>
        <v>7200</v>
      </c>
    </row>
    <row r="857" spans="2:13" x14ac:dyDescent="0.25">
      <c r="B857" s="1">
        <v>44142</v>
      </c>
      <c r="C857" t="str">
        <f t="shared" si="55"/>
        <v>noviembre</v>
      </c>
      <c r="D857" t="s">
        <v>163</v>
      </c>
      <c r="E857" t="s">
        <v>15</v>
      </c>
      <c r="G857" t="s">
        <v>80</v>
      </c>
      <c r="H857">
        <v>50</v>
      </c>
      <c r="I857">
        <v>235</v>
      </c>
      <c r="J857" s="5">
        <f t="shared" si="56"/>
        <v>11750</v>
      </c>
    </row>
    <row r="858" spans="2:13" x14ac:dyDescent="0.25">
      <c r="B858" s="1">
        <v>44142</v>
      </c>
      <c r="C858" t="str">
        <f t="shared" si="55"/>
        <v>noviembre</v>
      </c>
      <c r="D858" t="s">
        <v>163</v>
      </c>
      <c r="E858" t="s">
        <v>15</v>
      </c>
      <c r="G858" t="s">
        <v>29</v>
      </c>
      <c r="H858">
        <v>100</v>
      </c>
      <c r="I858">
        <v>212</v>
      </c>
      <c r="J858" s="5">
        <f t="shared" si="56"/>
        <v>21200</v>
      </c>
    </row>
    <row r="859" spans="2:13" hidden="1" x14ac:dyDescent="0.25">
      <c r="B859" s="1">
        <v>44142</v>
      </c>
      <c r="C859" t="str">
        <f t="shared" si="55"/>
        <v>noviembre</v>
      </c>
      <c r="D859" t="s">
        <v>163</v>
      </c>
      <c r="E859" t="s">
        <v>56</v>
      </c>
      <c r="G859" t="s">
        <v>267</v>
      </c>
      <c r="H859">
        <v>50</v>
      </c>
      <c r="I859">
        <v>128</v>
      </c>
      <c r="J859" s="5">
        <f t="shared" si="56"/>
        <v>6400</v>
      </c>
    </row>
    <row r="860" spans="2:13" hidden="1" x14ac:dyDescent="0.25">
      <c r="B860" s="1">
        <v>43916</v>
      </c>
      <c r="C860" t="str">
        <f t="shared" si="55"/>
        <v>marzo</v>
      </c>
      <c r="D860" t="s">
        <v>99</v>
      </c>
      <c r="E860" t="s">
        <v>26</v>
      </c>
      <c r="G860" t="s">
        <v>100</v>
      </c>
      <c r="H860">
        <v>5.76</v>
      </c>
      <c r="I860">
        <v>310</v>
      </c>
      <c r="J860" s="5">
        <f t="shared" si="56"/>
        <v>1785.6</v>
      </c>
      <c r="K860">
        <v>350</v>
      </c>
      <c r="L860" s="9">
        <f t="shared" ref="L860:L884" si="57">+H860*K860</f>
        <v>2016</v>
      </c>
      <c r="M860" s="9">
        <f t="shared" ref="M860:M884" si="58">+L860-J860</f>
        <v>230.40000000000009</v>
      </c>
    </row>
    <row r="861" spans="2:13" hidden="1" x14ac:dyDescent="0.25">
      <c r="B861" s="1">
        <v>43941</v>
      </c>
      <c r="C861" t="str">
        <f t="shared" si="55"/>
        <v>abril</v>
      </c>
      <c r="D861" t="s">
        <v>99</v>
      </c>
      <c r="E861" t="s">
        <v>26</v>
      </c>
      <c r="G861" t="s">
        <v>100</v>
      </c>
      <c r="H861">
        <v>10.08</v>
      </c>
      <c r="I861">
        <v>311.5</v>
      </c>
      <c r="J861" s="5">
        <f t="shared" si="56"/>
        <v>3139.92</v>
      </c>
      <c r="K861">
        <v>350</v>
      </c>
      <c r="L861" s="9">
        <f t="shared" si="57"/>
        <v>3528</v>
      </c>
      <c r="M861" s="9">
        <f t="shared" si="58"/>
        <v>388.07999999999993</v>
      </c>
    </row>
    <row r="862" spans="2:13" hidden="1" x14ac:dyDescent="0.25">
      <c r="B862" s="1">
        <v>43945</v>
      </c>
      <c r="C862" t="str">
        <f t="shared" si="55"/>
        <v>abril</v>
      </c>
      <c r="D862" t="s">
        <v>99</v>
      </c>
      <c r="E862" t="s">
        <v>26</v>
      </c>
      <c r="G862" t="s">
        <v>101</v>
      </c>
      <c r="H862">
        <v>24.48</v>
      </c>
      <c r="I862">
        <v>350.7</v>
      </c>
      <c r="J862" s="5">
        <f t="shared" si="56"/>
        <v>8585.1360000000004</v>
      </c>
      <c r="K862">
        <v>425</v>
      </c>
      <c r="L862" s="9">
        <f t="shared" si="57"/>
        <v>10404</v>
      </c>
      <c r="M862" s="9">
        <f t="shared" si="58"/>
        <v>1818.8639999999996</v>
      </c>
    </row>
    <row r="863" spans="2:13" hidden="1" x14ac:dyDescent="0.25">
      <c r="B863" s="1">
        <v>43948</v>
      </c>
      <c r="C863" t="str">
        <f t="shared" si="55"/>
        <v>abril</v>
      </c>
      <c r="D863" t="s">
        <v>99</v>
      </c>
      <c r="E863" t="s">
        <v>26</v>
      </c>
      <c r="G863" t="s">
        <v>101</v>
      </c>
      <c r="H863">
        <v>34.56</v>
      </c>
      <c r="I863">
        <v>350.7</v>
      </c>
      <c r="J863" s="5">
        <f t="shared" si="56"/>
        <v>12120.192000000001</v>
      </c>
      <c r="K863">
        <v>425</v>
      </c>
      <c r="L863" s="9">
        <f t="shared" si="57"/>
        <v>14688.000000000002</v>
      </c>
      <c r="M863" s="9">
        <f t="shared" si="58"/>
        <v>2567.8080000000009</v>
      </c>
    </row>
    <row r="864" spans="2:13" hidden="1" x14ac:dyDescent="0.25">
      <c r="B864" s="1">
        <v>43948</v>
      </c>
      <c r="C864" t="str">
        <f t="shared" si="55"/>
        <v>abril</v>
      </c>
      <c r="D864" t="s">
        <v>99</v>
      </c>
      <c r="E864" t="s">
        <v>26</v>
      </c>
      <c r="G864" t="s">
        <v>100</v>
      </c>
      <c r="H864">
        <v>2.88</v>
      </c>
      <c r="I864">
        <v>311.5</v>
      </c>
      <c r="J864" s="5">
        <f t="shared" si="56"/>
        <v>897.12</v>
      </c>
      <c r="K864">
        <v>350</v>
      </c>
      <c r="L864" s="9">
        <f t="shared" si="57"/>
        <v>1008</v>
      </c>
      <c r="M864" s="9">
        <f t="shared" si="58"/>
        <v>110.88</v>
      </c>
    </row>
    <row r="865" spans="2:13" hidden="1" x14ac:dyDescent="0.25">
      <c r="B865" s="1">
        <v>43955</v>
      </c>
      <c r="C865" t="str">
        <f t="shared" si="55"/>
        <v>mayo</v>
      </c>
      <c r="D865" t="s">
        <v>99</v>
      </c>
      <c r="E865" t="s">
        <v>26</v>
      </c>
      <c r="G865" t="s">
        <v>101</v>
      </c>
      <c r="H865">
        <v>30.24</v>
      </c>
      <c r="I865">
        <v>353</v>
      </c>
      <c r="J865" s="5">
        <f t="shared" si="56"/>
        <v>10674.72</v>
      </c>
      <c r="K865">
        <v>425</v>
      </c>
      <c r="L865" s="9">
        <f t="shared" si="57"/>
        <v>12852</v>
      </c>
      <c r="M865" s="9">
        <f t="shared" si="58"/>
        <v>2177.2800000000007</v>
      </c>
    </row>
    <row r="866" spans="2:13" hidden="1" x14ac:dyDescent="0.25">
      <c r="B866" s="1">
        <v>44023</v>
      </c>
      <c r="C866" t="str">
        <f t="shared" si="55"/>
        <v>julio</v>
      </c>
      <c r="D866" t="s">
        <v>99</v>
      </c>
      <c r="E866" t="s">
        <v>26</v>
      </c>
      <c r="G866" t="s">
        <v>100</v>
      </c>
      <c r="H866">
        <v>100.8</v>
      </c>
      <c r="I866">
        <v>260.27999999999997</v>
      </c>
      <c r="J866" s="5">
        <f t="shared" si="56"/>
        <v>26236.223999999995</v>
      </c>
      <c r="K866">
        <v>350</v>
      </c>
      <c r="L866" s="9">
        <f t="shared" si="57"/>
        <v>35280</v>
      </c>
      <c r="M866" s="9">
        <f t="shared" si="58"/>
        <v>9043.7760000000053</v>
      </c>
    </row>
    <row r="867" spans="2:13" hidden="1" x14ac:dyDescent="0.25">
      <c r="B867" s="1">
        <v>44025</v>
      </c>
      <c r="C867" t="str">
        <f t="shared" si="55"/>
        <v>julio</v>
      </c>
      <c r="D867" t="s">
        <v>99</v>
      </c>
      <c r="E867" t="s">
        <v>26</v>
      </c>
      <c r="G867" t="s">
        <v>605</v>
      </c>
      <c r="H867">
        <v>1.44</v>
      </c>
      <c r="I867">
        <v>371</v>
      </c>
      <c r="J867" s="5">
        <f t="shared" si="56"/>
        <v>534.24</v>
      </c>
      <c r="K867">
        <v>425</v>
      </c>
      <c r="L867" s="9">
        <f t="shared" si="57"/>
        <v>612</v>
      </c>
      <c r="M867" s="9">
        <f t="shared" si="58"/>
        <v>77.759999999999991</v>
      </c>
    </row>
    <row r="868" spans="2:13" hidden="1" x14ac:dyDescent="0.25">
      <c r="B868" s="1">
        <v>44025</v>
      </c>
      <c r="C868" t="str">
        <f t="shared" si="55"/>
        <v>julio</v>
      </c>
      <c r="D868" t="s">
        <v>99</v>
      </c>
      <c r="E868" t="s">
        <v>26</v>
      </c>
      <c r="G868" t="s">
        <v>101</v>
      </c>
      <c r="H868">
        <v>10.08</v>
      </c>
      <c r="I868">
        <v>353</v>
      </c>
      <c r="J868" s="5">
        <f t="shared" si="56"/>
        <v>3558.2400000000002</v>
      </c>
      <c r="K868">
        <v>425</v>
      </c>
      <c r="L868" s="9">
        <f t="shared" si="57"/>
        <v>4284</v>
      </c>
      <c r="M868" s="9">
        <f t="shared" si="58"/>
        <v>725.75999999999976</v>
      </c>
    </row>
    <row r="869" spans="2:13" hidden="1" x14ac:dyDescent="0.25">
      <c r="B869" s="1">
        <v>44030</v>
      </c>
      <c r="C869" t="str">
        <f t="shared" si="55"/>
        <v>julio</v>
      </c>
      <c r="D869" t="s">
        <v>99</v>
      </c>
      <c r="E869" t="s">
        <v>26</v>
      </c>
      <c r="G869" t="s">
        <v>100</v>
      </c>
      <c r="H869">
        <v>100.8</v>
      </c>
      <c r="I869">
        <v>260.27999999999997</v>
      </c>
      <c r="J869" s="5">
        <f t="shared" si="56"/>
        <v>26236.223999999995</v>
      </c>
      <c r="K869">
        <v>350</v>
      </c>
      <c r="L869" s="9">
        <f t="shared" si="57"/>
        <v>35280</v>
      </c>
      <c r="M869" s="9">
        <f t="shared" si="58"/>
        <v>9043.7760000000053</v>
      </c>
    </row>
    <row r="870" spans="2:13" hidden="1" x14ac:dyDescent="0.25">
      <c r="B870" s="1">
        <v>44030</v>
      </c>
      <c r="C870" t="str">
        <f t="shared" si="55"/>
        <v>julio</v>
      </c>
      <c r="D870" t="s">
        <v>99</v>
      </c>
      <c r="E870" t="s">
        <v>26</v>
      </c>
      <c r="G870" t="s">
        <v>101</v>
      </c>
      <c r="H870">
        <v>1.44</v>
      </c>
      <c r="I870">
        <v>354</v>
      </c>
      <c r="J870" s="5">
        <f t="shared" si="56"/>
        <v>509.76</v>
      </c>
      <c r="K870">
        <v>425</v>
      </c>
      <c r="L870" s="9">
        <f t="shared" si="57"/>
        <v>612</v>
      </c>
      <c r="M870" s="9">
        <f t="shared" si="58"/>
        <v>102.24000000000001</v>
      </c>
    </row>
    <row r="871" spans="2:13" hidden="1" x14ac:dyDescent="0.25">
      <c r="B871" s="1">
        <v>44042</v>
      </c>
      <c r="C871" t="str">
        <f t="shared" si="55"/>
        <v>julio</v>
      </c>
      <c r="D871" t="s">
        <v>99</v>
      </c>
      <c r="E871" t="s">
        <v>26</v>
      </c>
      <c r="G871" t="s">
        <v>100</v>
      </c>
      <c r="H871">
        <v>10.08</v>
      </c>
      <c r="I871">
        <v>267</v>
      </c>
      <c r="J871" s="5">
        <f t="shared" si="56"/>
        <v>2691.36</v>
      </c>
      <c r="K871">
        <v>350</v>
      </c>
      <c r="L871" s="9">
        <f t="shared" si="57"/>
        <v>3528</v>
      </c>
      <c r="M871" s="9">
        <f t="shared" si="58"/>
        <v>836.63999999999987</v>
      </c>
    </row>
    <row r="872" spans="2:13" hidden="1" x14ac:dyDescent="0.25">
      <c r="B872" s="1">
        <v>44042</v>
      </c>
      <c r="C872" t="str">
        <f t="shared" si="55"/>
        <v>julio</v>
      </c>
      <c r="D872" t="s">
        <v>99</v>
      </c>
      <c r="E872" t="s">
        <v>26</v>
      </c>
      <c r="G872" t="s">
        <v>101</v>
      </c>
      <c r="H872">
        <v>1.44</v>
      </c>
      <c r="I872">
        <v>354</v>
      </c>
      <c r="J872" s="5">
        <f t="shared" si="56"/>
        <v>509.76</v>
      </c>
      <c r="K872">
        <v>425</v>
      </c>
      <c r="L872" s="9">
        <f t="shared" si="57"/>
        <v>612</v>
      </c>
      <c r="M872" s="9">
        <f t="shared" si="58"/>
        <v>102.24000000000001</v>
      </c>
    </row>
    <row r="873" spans="2:13" hidden="1" x14ac:dyDescent="0.25">
      <c r="B873" s="1">
        <v>44044</v>
      </c>
      <c r="C873" t="str">
        <f t="shared" si="55"/>
        <v>agosto</v>
      </c>
      <c r="D873" t="s">
        <v>99</v>
      </c>
      <c r="E873" t="s">
        <v>26</v>
      </c>
      <c r="G873" t="s">
        <v>100</v>
      </c>
      <c r="H873">
        <v>100.8</v>
      </c>
      <c r="I873">
        <v>260</v>
      </c>
      <c r="J873" s="5">
        <f t="shared" si="56"/>
        <v>26208</v>
      </c>
      <c r="K873">
        <v>350</v>
      </c>
      <c r="L873" s="9">
        <f t="shared" si="57"/>
        <v>35280</v>
      </c>
      <c r="M873" s="9">
        <f t="shared" si="58"/>
        <v>9072</v>
      </c>
    </row>
    <row r="874" spans="2:13" hidden="1" x14ac:dyDescent="0.25">
      <c r="B874" s="1">
        <v>44079</v>
      </c>
      <c r="C874" t="str">
        <f t="shared" si="55"/>
        <v>septiembre</v>
      </c>
      <c r="D874" t="s">
        <v>99</v>
      </c>
      <c r="E874" t="s">
        <v>26</v>
      </c>
      <c r="G874" t="s">
        <v>100</v>
      </c>
      <c r="H874">
        <v>95.04</v>
      </c>
      <c r="I874">
        <v>260</v>
      </c>
      <c r="J874" s="5">
        <f t="shared" si="56"/>
        <v>24710.400000000001</v>
      </c>
      <c r="K874">
        <v>350</v>
      </c>
      <c r="L874" s="9">
        <f t="shared" si="57"/>
        <v>33264</v>
      </c>
      <c r="M874" s="9">
        <f t="shared" si="58"/>
        <v>8553.5999999999985</v>
      </c>
    </row>
    <row r="875" spans="2:13" hidden="1" x14ac:dyDescent="0.25">
      <c r="B875" s="1">
        <v>44085</v>
      </c>
      <c r="C875" t="str">
        <f t="shared" si="55"/>
        <v>septiembre</v>
      </c>
      <c r="D875" t="s">
        <v>99</v>
      </c>
      <c r="E875" t="s">
        <v>26</v>
      </c>
      <c r="G875" t="s">
        <v>605</v>
      </c>
      <c r="H875">
        <v>51.84</v>
      </c>
      <c r="I875">
        <v>372.5</v>
      </c>
      <c r="J875" s="5">
        <f t="shared" si="56"/>
        <v>19310.400000000001</v>
      </c>
      <c r="K875">
        <v>425</v>
      </c>
      <c r="L875" s="9">
        <f t="shared" si="57"/>
        <v>22032</v>
      </c>
      <c r="M875" s="9">
        <f t="shared" si="58"/>
        <v>2721.5999999999985</v>
      </c>
    </row>
    <row r="876" spans="2:13" hidden="1" x14ac:dyDescent="0.25">
      <c r="B876" s="1">
        <v>44082</v>
      </c>
      <c r="C876" t="str">
        <f t="shared" si="55"/>
        <v>septiembre</v>
      </c>
      <c r="D876" t="s">
        <v>99</v>
      </c>
      <c r="E876" t="s">
        <v>26</v>
      </c>
      <c r="G876" t="s">
        <v>605</v>
      </c>
      <c r="H876">
        <v>17.28</v>
      </c>
      <c r="I876">
        <v>376</v>
      </c>
      <c r="J876" s="5">
        <f t="shared" si="56"/>
        <v>6497.2800000000007</v>
      </c>
      <c r="K876">
        <v>425</v>
      </c>
      <c r="L876" s="9">
        <f t="shared" si="57"/>
        <v>7344.0000000000009</v>
      </c>
      <c r="M876" s="9">
        <f t="shared" si="58"/>
        <v>846.72000000000025</v>
      </c>
    </row>
    <row r="877" spans="2:13" hidden="1" x14ac:dyDescent="0.25">
      <c r="B877" s="1">
        <v>44082</v>
      </c>
      <c r="C877" t="str">
        <f t="shared" si="55"/>
        <v>septiembre</v>
      </c>
      <c r="D877" t="s">
        <v>99</v>
      </c>
      <c r="E877" t="s">
        <v>26</v>
      </c>
      <c r="G877" t="s">
        <v>605</v>
      </c>
      <c r="H877">
        <v>11.52</v>
      </c>
      <c r="I877">
        <v>376</v>
      </c>
      <c r="J877" s="5">
        <f t="shared" si="56"/>
        <v>4331.5199999999995</v>
      </c>
      <c r="K877">
        <v>425</v>
      </c>
      <c r="L877" s="9">
        <f t="shared" si="57"/>
        <v>4896</v>
      </c>
      <c r="M877" s="9">
        <f t="shared" si="58"/>
        <v>564.48000000000047</v>
      </c>
    </row>
    <row r="878" spans="2:13" hidden="1" x14ac:dyDescent="0.25">
      <c r="B878" s="1">
        <v>44131</v>
      </c>
      <c r="C878" t="str">
        <f t="shared" si="55"/>
        <v>octubre</v>
      </c>
      <c r="D878" t="s">
        <v>99</v>
      </c>
      <c r="E878" t="s">
        <v>26</v>
      </c>
      <c r="G878" t="s">
        <v>532</v>
      </c>
      <c r="H878">
        <v>70.56</v>
      </c>
      <c r="I878">
        <v>340.05</v>
      </c>
      <c r="J878" s="5">
        <f t="shared" si="56"/>
        <v>23993.928</v>
      </c>
      <c r="K878">
        <v>380</v>
      </c>
      <c r="L878" s="9">
        <f t="shared" si="57"/>
        <v>26812.799999999999</v>
      </c>
      <c r="M878" s="9">
        <f t="shared" si="58"/>
        <v>2818.8719999999994</v>
      </c>
    </row>
    <row r="879" spans="2:13" hidden="1" x14ac:dyDescent="0.25">
      <c r="B879" s="1">
        <v>44134</v>
      </c>
      <c r="C879" t="str">
        <f t="shared" si="55"/>
        <v>octubre</v>
      </c>
      <c r="D879" t="s">
        <v>99</v>
      </c>
      <c r="E879" t="s">
        <v>26</v>
      </c>
      <c r="G879" t="s">
        <v>532</v>
      </c>
      <c r="H879">
        <v>139.68</v>
      </c>
      <c r="I879">
        <v>340</v>
      </c>
      <c r="J879" s="5">
        <f t="shared" si="56"/>
        <v>47491.200000000004</v>
      </c>
      <c r="K879">
        <v>380</v>
      </c>
      <c r="L879" s="9">
        <f t="shared" si="57"/>
        <v>53078.400000000001</v>
      </c>
      <c r="M879" s="9">
        <f t="shared" si="58"/>
        <v>5587.1999999999971</v>
      </c>
    </row>
    <row r="880" spans="2:13" hidden="1" x14ac:dyDescent="0.25">
      <c r="B880" s="1">
        <v>44138</v>
      </c>
      <c r="C880" t="str">
        <f t="shared" si="55"/>
        <v>noviembre</v>
      </c>
      <c r="D880" t="s">
        <v>99</v>
      </c>
      <c r="E880" t="s">
        <v>26</v>
      </c>
      <c r="G880" t="s">
        <v>532</v>
      </c>
      <c r="H880">
        <v>100.8</v>
      </c>
      <c r="I880">
        <v>340</v>
      </c>
      <c r="J880" s="5">
        <f t="shared" si="56"/>
        <v>34272</v>
      </c>
      <c r="K880">
        <v>380</v>
      </c>
      <c r="L880" s="9">
        <f t="shared" si="57"/>
        <v>38304</v>
      </c>
      <c r="M880" s="9">
        <f t="shared" si="58"/>
        <v>4032</v>
      </c>
    </row>
    <row r="881" spans="2:13" hidden="1" x14ac:dyDescent="0.25">
      <c r="B881" s="1">
        <v>44140</v>
      </c>
      <c r="C881" t="str">
        <f t="shared" si="55"/>
        <v>noviembre</v>
      </c>
      <c r="D881" t="s">
        <v>99</v>
      </c>
      <c r="E881" t="s">
        <v>26</v>
      </c>
      <c r="G881" t="s">
        <v>605</v>
      </c>
      <c r="H881">
        <v>38.880000000000003</v>
      </c>
      <c r="I881">
        <v>411.79</v>
      </c>
      <c r="J881" s="5">
        <f t="shared" si="56"/>
        <v>16010.395200000003</v>
      </c>
      <c r="K881">
        <v>440</v>
      </c>
      <c r="L881" s="9">
        <f t="shared" si="57"/>
        <v>17107.2</v>
      </c>
      <c r="M881" s="9">
        <f t="shared" si="58"/>
        <v>1096.8047999999981</v>
      </c>
    </row>
    <row r="882" spans="2:13" hidden="1" x14ac:dyDescent="0.25">
      <c r="B882" s="1">
        <v>44048</v>
      </c>
      <c r="C882" t="str">
        <f t="shared" si="55"/>
        <v>agosto</v>
      </c>
      <c r="D882" t="s">
        <v>187</v>
      </c>
      <c r="E882" t="s">
        <v>23</v>
      </c>
      <c r="G882" t="s">
        <v>316</v>
      </c>
      <c r="H882">
        <v>10</v>
      </c>
      <c r="I882">
        <v>38.9</v>
      </c>
      <c r="J882" s="5">
        <f t="shared" si="56"/>
        <v>389</v>
      </c>
      <c r="K882" s="9">
        <v>60</v>
      </c>
      <c r="L882" s="9">
        <f t="shared" si="57"/>
        <v>600</v>
      </c>
      <c r="M882" s="9">
        <f t="shared" si="58"/>
        <v>211</v>
      </c>
    </row>
    <row r="883" spans="2:13" hidden="1" x14ac:dyDescent="0.25">
      <c r="B883" s="1">
        <v>44048</v>
      </c>
      <c r="C883" t="str">
        <f t="shared" si="55"/>
        <v>agosto</v>
      </c>
      <c r="D883" t="s">
        <v>187</v>
      </c>
      <c r="E883" t="s">
        <v>23</v>
      </c>
      <c r="G883" t="s">
        <v>189</v>
      </c>
      <c r="H883">
        <v>2</v>
      </c>
      <c r="I883">
        <v>150</v>
      </c>
      <c r="J883" s="5">
        <f t="shared" si="56"/>
        <v>300</v>
      </c>
      <c r="K883" s="9">
        <v>200</v>
      </c>
      <c r="L883" s="9">
        <f t="shared" si="57"/>
        <v>400</v>
      </c>
      <c r="M883" s="9">
        <f t="shared" si="58"/>
        <v>100</v>
      </c>
    </row>
    <row r="884" spans="2:13" hidden="1" x14ac:dyDescent="0.25">
      <c r="B884" s="1">
        <v>44048</v>
      </c>
      <c r="C884" t="str">
        <f t="shared" si="55"/>
        <v>agosto</v>
      </c>
      <c r="D884" t="s">
        <v>187</v>
      </c>
      <c r="E884" t="s">
        <v>23</v>
      </c>
      <c r="G884" t="s">
        <v>43</v>
      </c>
      <c r="H884">
        <v>12</v>
      </c>
      <c r="I884">
        <v>50.5</v>
      </c>
      <c r="J884" s="5">
        <f t="shared" si="56"/>
        <v>606</v>
      </c>
      <c r="K884" s="9">
        <v>60</v>
      </c>
      <c r="L884" s="9">
        <f t="shared" si="57"/>
        <v>720</v>
      </c>
      <c r="M884" s="9">
        <f t="shared" si="58"/>
        <v>114</v>
      </c>
    </row>
    <row r="885" spans="2:13" hidden="1" x14ac:dyDescent="0.25">
      <c r="B885" s="1">
        <v>44092</v>
      </c>
      <c r="C885" t="str">
        <f t="shared" si="55"/>
        <v>septiembre</v>
      </c>
      <c r="D885" t="s">
        <v>237</v>
      </c>
      <c r="E885" t="s">
        <v>68</v>
      </c>
      <c r="G885" t="s">
        <v>606</v>
      </c>
      <c r="H885">
        <v>2</v>
      </c>
      <c r="I885">
        <v>167</v>
      </c>
      <c r="J885" s="5">
        <f t="shared" si="56"/>
        <v>334</v>
      </c>
    </row>
    <row r="886" spans="2:13" hidden="1" x14ac:dyDescent="0.25">
      <c r="B886" s="1">
        <v>44092</v>
      </c>
      <c r="C886" t="str">
        <f t="shared" si="55"/>
        <v>septiembre</v>
      </c>
      <c r="D886" t="s">
        <v>237</v>
      </c>
      <c r="E886" t="s">
        <v>68</v>
      </c>
      <c r="G886" t="s">
        <v>606</v>
      </c>
      <c r="H886">
        <v>3</v>
      </c>
      <c r="I886">
        <v>92</v>
      </c>
      <c r="J886" s="5">
        <f t="shared" si="56"/>
        <v>276</v>
      </c>
    </row>
    <row r="887" spans="2:13" hidden="1" x14ac:dyDescent="0.25">
      <c r="B887" s="1">
        <v>44092</v>
      </c>
      <c r="C887" t="str">
        <f t="shared" si="55"/>
        <v>septiembre</v>
      </c>
      <c r="D887" t="s">
        <v>237</v>
      </c>
      <c r="E887" t="s">
        <v>44</v>
      </c>
      <c r="G887" t="s">
        <v>77</v>
      </c>
      <c r="H887">
        <v>30</v>
      </c>
      <c r="I887">
        <v>20</v>
      </c>
      <c r="J887" s="5">
        <f t="shared" si="56"/>
        <v>600</v>
      </c>
    </row>
    <row r="888" spans="2:13" hidden="1" x14ac:dyDescent="0.25">
      <c r="B888" s="1">
        <v>44106</v>
      </c>
      <c r="C888" t="str">
        <f t="shared" si="55"/>
        <v>octubre</v>
      </c>
      <c r="D888" t="s">
        <v>237</v>
      </c>
      <c r="E888" t="s">
        <v>70</v>
      </c>
      <c r="G888" t="s">
        <v>325</v>
      </c>
      <c r="H888">
        <v>3</v>
      </c>
      <c r="I888">
        <v>179</v>
      </c>
      <c r="J888" s="5">
        <f t="shared" si="56"/>
        <v>537</v>
      </c>
    </row>
    <row r="889" spans="2:13" hidden="1" x14ac:dyDescent="0.25">
      <c r="B889" s="1">
        <v>44106</v>
      </c>
      <c r="C889" t="str">
        <f t="shared" si="55"/>
        <v>octubre</v>
      </c>
      <c r="D889" t="s">
        <v>237</v>
      </c>
      <c r="E889" t="s">
        <v>78</v>
      </c>
      <c r="G889" t="s">
        <v>607</v>
      </c>
      <c r="H889">
        <v>2</v>
      </c>
      <c r="I889">
        <v>530</v>
      </c>
      <c r="J889" s="5">
        <f t="shared" si="56"/>
        <v>1060</v>
      </c>
    </row>
    <row r="890" spans="2:13" hidden="1" x14ac:dyDescent="0.25">
      <c r="B890" s="1">
        <v>44106</v>
      </c>
      <c r="C890" t="str">
        <f t="shared" si="55"/>
        <v>octubre</v>
      </c>
      <c r="D890" t="s">
        <v>237</v>
      </c>
      <c r="E890" t="s">
        <v>44</v>
      </c>
      <c r="G890" t="s">
        <v>226</v>
      </c>
      <c r="H890">
        <v>20</v>
      </c>
      <c r="I890">
        <v>20</v>
      </c>
      <c r="J890" s="5">
        <f t="shared" si="56"/>
        <v>400</v>
      </c>
    </row>
    <row r="891" spans="2:13" hidden="1" x14ac:dyDescent="0.25">
      <c r="B891" s="1">
        <v>43836</v>
      </c>
      <c r="C891" t="str">
        <f t="shared" si="55"/>
        <v>enero</v>
      </c>
      <c r="D891" t="s">
        <v>186</v>
      </c>
      <c r="E891" t="s">
        <v>24</v>
      </c>
      <c r="G891" t="s">
        <v>24</v>
      </c>
      <c r="H891">
        <f t="shared" ref="H891:H896" si="59">12*3.2</f>
        <v>38.400000000000006</v>
      </c>
      <c r="I891">
        <v>80</v>
      </c>
      <c r="J891" s="5">
        <f t="shared" si="56"/>
        <v>3072.0000000000005</v>
      </c>
      <c r="K891">
        <v>100</v>
      </c>
      <c r="L891" s="9">
        <f t="shared" ref="L891:L896" si="60">+H891*K891</f>
        <v>3840.0000000000005</v>
      </c>
      <c r="M891" s="5">
        <f t="shared" ref="M891:M896" si="61">+L891-J891</f>
        <v>768</v>
      </c>
    </row>
    <row r="892" spans="2:13" hidden="1" x14ac:dyDescent="0.25">
      <c r="B892" s="1">
        <v>43875</v>
      </c>
      <c r="C892" t="str">
        <f t="shared" si="55"/>
        <v>febrero</v>
      </c>
      <c r="D892" t="s">
        <v>186</v>
      </c>
      <c r="E892" t="s">
        <v>24</v>
      </c>
      <c r="G892" t="s">
        <v>24</v>
      </c>
      <c r="H892">
        <f t="shared" si="59"/>
        <v>38.400000000000006</v>
      </c>
      <c r="I892">
        <v>80</v>
      </c>
      <c r="J892" s="5">
        <f t="shared" si="56"/>
        <v>3072.0000000000005</v>
      </c>
      <c r="K892">
        <v>100</v>
      </c>
      <c r="L892" s="9">
        <f t="shared" si="60"/>
        <v>3840.0000000000005</v>
      </c>
      <c r="M892" s="5">
        <f t="shared" si="61"/>
        <v>768</v>
      </c>
    </row>
    <row r="893" spans="2:13" hidden="1" x14ac:dyDescent="0.25">
      <c r="B893" s="1">
        <v>43942</v>
      </c>
      <c r="C893" t="str">
        <f t="shared" si="55"/>
        <v>abril</v>
      </c>
      <c r="D893" t="s">
        <v>186</v>
      </c>
      <c r="E893" t="s">
        <v>24</v>
      </c>
      <c r="G893" t="s">
        <v>24</v>
      </c>
      <c r="H893">
        <f t="shared" si="59"/>
        <v>38.400000000000006</v>
      </c>
      <c r="I893">
        <v>80</v>
      </c>
      <c r="J893" s="5">
        <f t="shared" si="56"/>
        <v>3072.0000000000005</v>
      </c>
      <c r="K893">
        <v>100</v>
      </c>
      <c r="L893" s="9">
        <f t="shared" si="60"/>
        <v>3840.0000000000005</v>
      </c>
      <c r="M893" s="5">
        <f t="shared" si="61"/>
        <v>768</v>
      </c>
    </row>
    <row r="894" spans="2:13" hidden="1" x14ac:dyDescent="0.25">
      <c r="B894" s="1">
        <v>44021</v>
      </c>
      <c r="C894" t="str">
        <f t="shared" si="55"/>
        <v>julio</v>
      </c>
      <c r="D894" t="s">
        <v>186</v>
      </c>
      <c r="E894" t="s">
        <v>24</v>
      </c>
      <c r="G894" t="s">
        <v>24</v>
      </c>
      <c r="H894">
        <f t="shared" si="59"/>
        <v>38.400000000000006</v>
      </c>
      <c r="I894">
        <v>80</v>
      </c>
      <c r="J894" s="5">
        <f t="shared" si="56"/>
        <v>3072.0000000000005</v>
      </c>
      <c r="K894">
        <v>100</v>
      </c>
      <c r="L894" s="9">
        <f t="shared" si="60"/>
        <v>3840.0000000000005</v>
      </c>
      <c r="M894" s="5">
        <f t="shared" si="61"/>
        <v>768</v>
      </c>
    </row>
    <row r="895" spans="2:13" hidden="1" x14ac:dyDescent="0.25">
      <c r="B895" s="1">
        <v>44043</v>
      </c>
      <c r="C895" t="str">
        <f t="shared" si="55"/>
        <v>julio</v>
      </c>
      <c r="D895" t="s">
        <v>186</v>
      </c>
      <c r="E895" t="s">
        <v>24</v>
      </c>
      <c r="G895" t="s">
        <v>24</v>
      </c>
      <c r="H895">
        <f t="shared" si="59"/>
        <v>38.400000000000006</v>
      </c>
      <c r="I895">
        <v>80</v>
      </c>
      <c r="J895" s="5">
        <f t="shared" si="56"/>
        <v>3072.0000000000005</v>
      </c>
      <c r="K895">
        <v>100</v>
      </c>
      <c r="L895" s="9">
        <f t="shared" si="60"/>
        <v>3840.0000000000005</v>
      </c>
      <c r="M895" s="5">
        <f t="shared" si="61"/>
        <v>768</v>
      </c>
    </row>
    <row r="896" spans="2:13" hidden="1" x14ac:dyDescent="0.25">
      <c r="B896" s="1">
        <v>44110</v>
      </c>
      <c r="C896" t="str">
        <f t="shared" si="55"/>
        <v>octubre</v>
      </c>
      <c r="D896" t="s">
        <v>186</v>
      </c>
      <c r="E896" t="s">
        <v>24</v>
      </c>
      <c r="G896" t="s">
        <v>24</v>
      </c>
      <c r="H896">
        <f t="shared" si="59"/>
        <v>38.400000000000006</v>
      </c>
      <c r="I896">
        <v>80</v>
      </c>
      <c r="J896" s="5">
        <f t="shared" si="56"/>
        <v>3072.0000000000005</v>
      </c>
      <c r="K896">
        <v>100</v>
      </c>
      <c r="L896" s="9">
        <f t="shared" si="60"/>
        <v>3840.0000000000005</v>
      </c>
      <c r="M896" s="5">
        <f t="shared" si="61"/>
        <v>768</v>
      </c>
    </row>
    <row r="915" spans="1:13" x14ac:dyDescent="0.25">
      <c r="A915" s="53" t="s">
        <v>0</v>
      </c>
      <c r="B915" s="53" t="s">
        <v>1</v>
      </c>
      <c r="C915" s="53" t="s">
        <v>7</v>
      </c>
      <c r="D915" s="53" t="s">
        <v>6</v>
      </c>
      <c r="E915" s="53" t="s">
        <v>12</v>
      </c>
      <c r="F915" s="54" t="s">
        <v>608</v>
      </c>
      <c r="G915" s="53" t="s">
        <v>2</v>
      </c>
      <c r="H915" s="53" t="s">
        <v>3</v>
      </c>
      <c r="I915" s="53" t="s">
        <v>4</v>
      </c>
      <c r="J915" s="53" t="s">
        <v>5</v>
      </c>
      <c r="K915" s="53" t="s">
        <v>9</v>
      </c>
      <c r="L915" s="53" t="s">
        <v>10</v>
      </c>
      <c r="M915" s="53" t="s">
        <v>11</v>
      </c>
    </row>
    <row r="916" spans="1:13" hidden="1" x14ac:dyDescent="0.25">
      <c r="B916" s="1">
        <v>44142</v>
      </c>
      <c r="C916" t="str">
        <f>IF(Compras[[#This Row],[Fecha ]]="","",+TEXT(B916,"mmmm"))</f>
        <v>noviembre</v>
      </c>
      <c r="D916" t="str">
        <f>IF(Compras[[#This Row],[Codigo de Producto]]="","",+VLOOKUP(Compras[[#This Row],[Codigo de Producto]],Productos[#All],2,FALSE))</f>
        <v>Dispiasa</v>
      </c>
      <c r="E916" t="str">
        <f>IF(Compras[[#This Row],[Codigo de Producto]]="","",+VLOOKUP(Compras[[#This Row],[Codigo de Producto]],Productos[#All],3,FALSE))</f>
        <v>Azulejos</v>
      </c>
      <c r="F916" t="s">
        <v>637</v>
      </c>
      <c r="G916" t="str">
        <f>IF(Compras[[#This Row],[Codigo de Producto]]="","",+VLOOKUP(Compras[[#This Row],[Codigo de Producto]],Productos[#All],4,FALSE))</f>
        <v>Marsella Blanco</v>
      </c>
      <c r="H916">
        <v>14.16</v>
      </c>
      <c r="I916">
        <v>268</v>
      </c>
      <c r="J916">
        <f>+Compras[[#This Row],[Cantidad]]*Compras[[#This Row],[Precio]]</f>
        <v>3794.88</v>
      </c>
      <c r="K916">
        <v>300</v>
      </c>
      <c r="L916" s="9">
        <f t="shared" ref="L916:L947" si="62">+H916*K916</f>
        <v>4248</v>
      </c>
      <c r="M916" s="5">
        <f t="shared" ref="M916:M947" si="63">+L916-J916</f>
        <v>453.11999999999989</v>
      </c>
    </row>
    <row r="917" spans="1:13" hidden="1" x14ac:dyDescent="0.25">
      <c r="B917" s="1">
        <v>44142</v>
      </c>
      <c r="C917" t="str">
        <f>IF(Compras[[#This Row],[Fecha ]]="","",+TEXT(B917,"mmmm"))</f>
        <v>noviembre</v>
      </c>
      <c r="D917" t="str">
        <f>IF(Compras[[#This Row],[Codigo de Producto]]="","",+VLOOKUP(Compras[[#This Row],[Codigo de Producto]],Productos[#All],2,FALSE))</f>
        <v>Dispiasa</v>
      </c>
      <c r="E917" t="str">
        <f>IF(Compras[[#This Row],[Codigo de Producto]]="","",+VLOOKUP(Compras[[#This Row],[Codigo de Producto]],Productos[#All],3,FALSE))</f>
        <v>Azulejos</v>
      </c>
      <c r="F917" t="s">
        <v>737</v>
      </c>
      <c r="G917" t="str">
        <f>IF(Compras[[#This Row],[Codigo de Producto]]="","",+VLOOKUP(Compras[[#This Row],[Codigo de Producto]],Productos[#All],4,FALSE))</f>
        <v>Nantes Blanco</v>
      </c>
      <c r="H917">
        <v>7.08</v>
      </c>
      <c r="I917">
        <v>268</v>
      </c>
      <c r="J917">
        <f>+Compras[[#This Row],[Cantidad]]*Compras[[#This Row],[Precio]]</f>
        <v>1897.44</v>
      </c>
      <c r="K917">
        <v>300</v>
      </c>
      <c r="L917" s="5">
        <f t="shared" si="62"/>
        <v>2124</v>
      </c>
      <c r="M917" s="5">
        <f t="shared" si="63"/>
        <v>226.55999999999995</v>
      </c>
    </row>
    <row r="918" spans="1:13" hidden="1" x14ac:dyDescent="0.25">
      <c r="B918" s="1">
        <v>44142</v>
      </c>
      <c r="C918" t="str">
        <f>IF(Compras[[#This Row],[Fecha ]]="","",+TEXT(B918,"mmmm"))</f>
        <v>noviembre</v>
      </c>
      <c r="D918" t="str">
        <f>IF(Compras[[#This Row],[Codigo de Producto]]="","",+VLOOKUP(Compras[[#This Row],[Codigo de Producto]],Productos[#All],2,FALSE))</f>
        <v>Dispiasa</v>
      </c>
      <c r="E918" t="str">
        <f>IF(Compras[[#This Row],[Codigo de Producto]]="","",+VLOOKUP(Compras[[#This Row],[Codigo de Producto]],Productos[#All],3,FALSE))</f>
        <v>Azulejos</v>
      </c>
      <c r="F918" t="s">
        <v>627</v>
      </c>
      <c r="G918" t="str">
        <f>IF(Compras[[#This Row],[Codigo de Producto]]="","",+VLOOKUP(Compras[[#This Row],[Codigo de Producto]],Productos[#All],4,FALSE))</f>
        <v>Palmira Beige Liso</v>
      </c>
      <c r="H918">
        <v>14.16</v>
      </c>
      <c r="I918">
        <v>268</v>
      </c>
      <c r="J918">
        <f>+Compras[[#This Row],[Cantidad]]*Compras[[#This Row],[Precio]]</f>
        <v>3794.88</v>
      </c>
      <c r="K918">
        <v>300</v>
      </c>
      <c r="L918" s="5">
        <f t="shared" si="62"/>
        <v>4248</v>
      </c>
      <c r="M918" s="5">
        <f t="shared" si="63"/>
        <v>453.11999999999989</v>
      </c>
    </row>
    <row r="919" spans="1:13" hidden="1" x14ac:dyDescent="0.25">
      <c r="B919" s="1">
        <v>44142</v>
      </c>
      <c r="C919" t="str">
        <f>IF(Compras[[#This Row],[Fecha ]]="","",+TEXT(B919,"mmmm"))</f>
        <v>noviembre</v>
      </c>
      <c r="D919" t="str">
        <f>IF(Compras[[#This Row],[Codigo de Producto]]="","",+VLOOKUP(Compras[[#This Row],[Codigo de Producto]],Productos[#All],2,FALSE))</f>
        <v>Dispiasa</v>
      </c>
      <c r="E919" t="str">
        <f>IF(Compras[[#This Row],[Codigo de Producto]]="","",+VLOOKUP(Compras[[#This Row],[Codigo de Producto]],Productos[#All],3,FALSE))</f>
        <v>Azulejos</v>
      </c>
      <c r="F919" t="s">
        <v>643</v>
      </c>
      <c r="G919" t="str">
        <f>IF(Compras[[#This Row],[Codigo de Producto]]="","",+VLOOKUP(Compras[[#This Row],[Codigo de Producto]],Productos[#All],4,FALSE))</f>
        <v>Romano Crema Liso</v>
      </c>
      <c r="H919">
        <v>10</v>
      </c>
      <c r="I919">
        <v>268</v>
      </c>
      <c r="J919">
        <f>+Compras[[#This Row],[Cantidad]]*Compras[[#This Row],[Precio]]</f>
        <v>2680</v>
      </c>
      <c r="K919">
        <v>300</v>
      </c>
      <c r="L919" s="5">
        <f t="shared" si="62"/>
        <v>3000</v>
      </c>
      <c r="M919" s="5">
        <f t="shared" si="63"/>
        <v>320</v>
      </c>
    </row>
    <row r="920" spans="1:13" hidden="1" x14ac:dyDescent="0.25">
      <c r="B920" s="1">
        <v>44142</v>
      </c>
      <c r="C920" t="str">
        <f>IF(Compras[[#This Row],[Fecha ]]="","",+TEXT(B920,"mmmm"))</f>
        <v>noviembre</v>
      </c>
      <c r="D920" t="str">
        <f>IF(Compras[[#This Row],[Codigo de Producto]]="","",+VLOOKUP(Compras[[#This Row],[Codigo de Producto]],Productos[#All],2,FALSE))</f>
        <v>Dispiasa</v>
      </c>
      <c r="E920" t="str">
        <f>IF(Compras[[#This Row],[Codigo de Producto]]="","",+VLOOKUP(Compras[[#This Row],[Codigo de Producto]],Productos[#All],3,FALSE))</f>
        <v>Cerámica</v>
      </c>
      <c r="F920" t="s">
        <v>738</v>
      </c>
      <c r="G920" t="str">
        <f>IF(Compras[[#This Row],[Codigo de Producto]]="","",+VLOOKUP(Compras[[#This Row],[Codigo de Producto]],Productos[#All],4,FALSE))</f>
        <v>Dubai Beige</v>
      </c>
      <c r="H920">
        <v>40</v>
      </c>
      <c r="I920">
        <v>268</v>
      </c>
      <c r="J920">
        <f>+Compras[[#This Row],[Cantidad]]*Compras[[#This Row],[Precio]]</f>
        <v>10720</v>
      </c>
      <c r="K920">
        <v>300</v>
      </c>
      <c r="L920" s="5">
        <f t="shared" si="62"/>
        <v>12000</v>
      </c>
      <c r="M920" s="5">
        <f t="shared" si="63"/>
        <v>1280</v>
      </c>
    </row>
    <row r="921" spans="1:13" hidden="1" x14ac:dyDescent="0.25">
      <c r="B921" s="1">
        <v>44142</v>
      </c>
      <c r="C921" t="str">
        <f>IF(Compras[[#This Row],[Fecha ]]="","",+TEXT(B921,"mmmm"))</f>
        <v>noviembre</v>
      </c>
      <c r="D921" t="str">
        <f>IF(Compras[[#This Row],[Codigo de Producto]]="","",+VLOOKUP(Compras[[#This Row],[Codigo de Producto]],Productos[#All],2,FALSE))</f>
        <v>Dispiasa</v>
      </c>
      <c r="E921" t="str">
        <f>IF(Compras[[#This Row],[Codigo de Producto]]="","",+VLOOKUP(Compras[[#This Row],[Codigo de Producto]],Productos[#All],3,FALSE))</f>
        <v>Azulejos</v>
      </c>
      <c r="F921" t="s">
        <v>716</v>
      </c>
      <c r="G921" t="str">
        <f>IF(Compras[[#This Row],[Codigo de Producto]]="","",+VLOOKUP(Compras[[#This Row],[Codigo de Producto]],Productos[#All],4,FALSE))</f>
        <v>Lisboa Verde Liso</v>
      </c>
      <c r="H921">
        <v>14.2</v>
      </c>
      <c r="I921">
        <v>268</v>
      </c>
      <c r="J921">
        <f>+Compras[[#This Row],[Cantidad]]*Compras[[#This Row],[Precio]]</f>
        <v>3805.6</v>
      </c>
      <c r="K921">
        <v>300</v>
      </c>
      <c r="L921" s="5">
        <f t="shared" si="62"/>
        <v>4260</v>
      </c>
      <c r="M921" s="5">
        <f t="shared" si="63"/>
        <v>454.40000000000009</v>
      </c>
    </row>
    <row r="922" spans="1:13" hidden="1" x14ac:dyDescent="0.25">
      <c r="B922" s="1">
        <v>44142</v>
      </c>
      <c r="C922" s="57" t="str">
        <f>IF(Compras[[#This Row],[Fecha ]]="","",+TEXT(B922,"mmmm"))</f>
        <v>noviembre</v>
      </c>
      <c r="D922" s="57" t="str">
        <f>IF(Compras[[#This Row],[Codigo de Producto]]="","",+VLOOKUP(Compras[[#This Row],[Codigo de Producto]],Productos[#All],2,FALSE))</f>
        <v>Dispiasa</v>
      </c>
      <c r="E922" s="57" t="str">
        <f>IF(Compras[[#This Row],[Codigo de Producto]]="","",+VLOOKUP(Compras[[#This Row],[Codigo de Producto]],Productos[#All],3,FALSE))</f>
        <v>Azulejos</v>
      </c>
      <c r="F922" t="s">
        <v>739</v>
      </c>
      <c r="G922" s="57" t="str">
        <f>IF(Compras[[#This Row],[Codigo de Producto]]="","",+VLOOKUP(Compras[[#This Row],[Codigo de Producto]],Productos[#All],4,FALSE))</f>
        <v>Lisboa Verde 1</v>
      </c>
      <c r="H922">
        <v>3</v>
      </c>
      <c r="I922">
        <v>268</v>
      </c>
      <c r="J922">
        <f>+Compras[[#This Row],[Cantidad]]*Compras[[#This Row],[Precio]]</f>
        <v>804</v>
      </c>
      <c r="K922">
        <v>300</v>
      </c>
      <c r="L922" s="5">
        <f t="shared" si="62"/>
        <v>900</v>
      </c>
      <c r="M922" s="5">
        <f t="shared" si="63"/>
        <v>96</v>
      </c>
    </row>
    <row r="923" spans="1:13" hidden="1" x14ac:dyDescent="0.25">
      <c r="B923" s="1">
        <v>44142</v>
      </c>
      <c r="C923" s="57" t="str">
        <f>IF(Compras[[#This Row],[Fecha ]]="","",+TEXT(B923,"mmmm"))</f>
        <v>noviembre</v>
      </c>
      <c r="D923" s="57" t="str">
        <f>IF(Compras[[#This Row],[Codigo de Producto]]="","",+VLOOKUP(Compras[[#This Row],[Codigo de Producto]],Productos[#All],2,FALSE))</f>
        <v>Dispiasa</v>
      </c>
      <c r="E923" s="57" t="str">
        <f>IF(Compras[[#This Row],[Codigo de Producto]]="","",+VLOOKUP(Compras[[#This Row],[Codigo de Producto]],Productos[#All],3,FALSE))</f>
        <v>Pantry</v>
      </c>
      <c r="F923" t="s">
        <v>740</v>
      </c>
      <c r="G923" s="57" t="str">
        <f>IF(Compras[[#This Row],[Codigo de Producto]]="","",+VLOOKUP(Compras[[#This Row],[Codigo de Producto]],Productos[#All],4,FALSE))</f>
        <v>Pana de Pantry Tramontina</v>
      </c>
      <c r="H923">
        <v>2</v>
      </c>
      <c r="I923">
        <v>1260</v>
      </c>
      <c r="J923">
        <f>+Compras[[#This Row],[Cantidad]]*Compras[[#This Row],[Precio]]</f>
        <v>2520</v>
      </c>
      <c r="K923">
        <v>1550</v>
      </c>
      <c r="L923" s="5">
        <f t="shared" si="62"/>
        <v>3100</v>
      </c>
      <c r="M923" s="5">
        <f t="shared" si="63"/>
        <v>580</v>
      </c>
    </row>
    <row r="924" spans="1:13" hidden="1" x14ac:dyDescent="0.25">
      <c r="B924" s="1">
        <v>44144</v>
      </c>
      <c r="C924" s="57" t="str">
        <f>IF(Compras[[#This Row],[Fecha ]]="","",+TEXT(B924,"mmmm"))</f>
        <v>noviembre</v>
      </c>
      <c r="D924" s="57" t="str">
        <f>IF(Compras[[#This Row],[Codigo de Producto]]="","",+VLOOKUP(Compras[[#This Row],[Codigo de Producto]],Productos[#All],2,FALSE))</f>
        <v>Dispiasa</v>
      </c>
      <c r="E924" s="57" t="str">
        <f>IF(Compras[[#This Row],[Codigo de Producto]]="","",+VLOOKUP(Compras[[#This Row],[Codigo de Producto]],Productos[#All],3,FALSE))</f>
        <v>Azulejos</v>
      </c>
      <c r="F924" t="s">
        <v>742</v>
      </c>
      <c r="G924" s="57" t="str">
        <f>IF(Compras[[#This Row],[Codigo de Producto]]="","",+VLOOKUP(Compras[[#This Row],[Codigo de Producto]],Productos[#All],4,FALSE))</f>
        <v>Palenque Azul Liso</v>
      </c>
      <c r="H924">
        <v>17</v>
      </c>
      <c r="I924">
        <v>256</v>
      </c>
      <c r="J924" s="57">
        <f>+Compras[[#This Row],[Cantidad]]*Compras[[#This Row],[Precio]]</f>
        <v>4352</v>
      </c>
      <c r="K924">
        <v>290</v>
      </c>
      <c r="L924" s="5">
        <f t="shared" si="62"/>
        <v>4930</v>
      </c>
      <c r="M924" s="5">
        <f t="shared" si="63"/>
        <v>578</v>
      </c>
    </row>
    <row r="925" spans="1:13" hidden="1" x14ac:dyDescent="0.25">
      <c r="B925" s="1">
        <v>44144</v>
      </c>
      <c r="C925" s="57" t="str">
        <f>IF(Compras[[#This Row],[Fecha ]]="","",+TEXT(B925,"mmmm"))</f>
        <v>noviembre</v>
      </c>
      <c r="D925" s="57" t="str">
        <f>IF(Compras[[#This Row],[Codigo de Producto]]="","",+VLOOKUP(Compras[[#This Row],[Codigo de Producto]],Productos[#All],2,FALSE))</f>
        <v>Dispiasa</v>
      </c>
      <c r="E925" s="57" t="str">
        <f>IF(Compras[[#This Row],[Codigo de Producto]]="","",+VLOOKUP(Compras[[#This Row],[Codigo de Producto]],Productos[#All],3,FALSE))</f>
        <v>Azulejos</v>
      </c>
      <c r="F925" t="s">
        <v>743</v>
      </c>
      <c r="G925" s="57" t="str">
        <f>IF(Compras[[#This Row],[Codigo de Producto]]="","",+VLOOKUP(Compras[[#This Row],[Codigo de Producto]],Productos[#All],4,FALSE))</f>
        <v>Palenque Azul Baño</v>
      </c>
      <c r="H925">
        <v>3.4</v>
      </c>
      <c r="I925">
        <v>256</v>
      </c>
      <c r="J925" s="57">
        <f>+Compras[[#This Row],[Cantidad]]*Compras[[#This Row],[Precio]]</f>
        <v>870.4</v>
      </c>
      <c r="K925">
        <v>290</v>
      </c>
      <c r="L925" s="5">
        <f t="shared" si="62"/>
        <v>986</v>
      </c>
      <c r="M925" s="5">
        <f t="shared" si="63"/>
        <v>115.60000000000002</v>
      </c>
    </row>
    <row r="926" spans="1:13" hidden="1" x14ac:dyDescent="0.25">
      <c r="B926" s="1">
        <v>44144</v>
      </c>
      <c r="C926" s="57" t="str">
        <f>IF(Compras[[#This Row],[Fecha ]]="","",+TEXT(B926,"mmmm"))</f>
        <v>noviembre</v>
      </c>
      <c r="D926" s="57" t="str">
        <f>IF(Compras[[#This Row],[Codigo de Producto]]="","",+VLOOKUP(Compras[[#This Row],[Codigo de Producto]],Productos[#All],2,FALSE))</f>
        <v>Dispiasa</v>
      </c>
      <c r="E926" s="57" t="str">
        <f>IF(Compras[[#This Row],[Codigo de Producto]]="","",+VLOOKUP(Compras[[#This Row],[Codigo de Producto]],Productos[#All],3,FALSE))</f>
        <v>Azulejos</v>
      </c>
      <c r="F926" t="s">
        <v>744</v>
      </c>
      <c r="G926" s="57" t="str">
        <f>IF(Compras[[#This Row],[Codigo de Producto]]="","",+VLOOKUP(Compras[[#This Row],[Codigo de Producto]],Productos[#All],4,FALSE))</f>
        <v>Palenque Azul Cocina</v>
      </c>
      <c r="H926">
        <v>3.4</v>
      </c>
      <c r="I926">
        <v>256</v>
      </c>
      <c r="J926" s="57">
        <f>+Compras[[#This Row],[Cantidad]]*Compras[[#This Row],[Precio]]</f>
        <v>870.4</v>
      </c>
      <c r="K926">
        <v>290</v>
      </c>
      <c r="L926" s="5">
        <f t="shared" si="62"/>
        <v>986</v>
      </c>
      <c r="M926" s="5">
        <f t="shared" si="63"/>
        <v>115.60000000000002</v>
      </c>
    </row>
    <row r="927" spans="1:13" hidden="1" x14ac:dyDescent="0.25">
      <c r="B927" s="1">
        <v>44144</v>
      </c>
      <c r="C927" s="57" t="str">
        <f>IF(Compras[[#This Row],[Fecha ]]="","",+TEXT(B927,"mmmm"))</f>
        <v>noviembre</v>
      </c>
      <c r="D927" s="57" t="str">
        <f>IF(Compras[[#This Row],[Codigo de Producto]]="","",+VLOOKUP(Compras[[#This Row],[Codigo de Producto]],Productos[#All],2,FALSE))</f>
        <v>Dispiasa</v>
      </c>
      <c r="E927" s="57" t="str">
        <f>IF(Compras[[#This Row],[Codigo de Producto]]="","",+VLOOKUP(Compras[[#This Row],[Codigo de Producto]],Productos[#All],3,FALSE))</f>
        <v>Azulejos</v>
      </c>
      <c r="F927" t="s">
        <v>626</v>
      </c>
      <c r="G927" s="57" t="str">
        <f>IF(Compras[[#This Row],[Codigo de Producto]]="","",+VLOOKUP(Compras[[#This Row],[Codigo de Producto]],Productos[#All],4,FALSE))</f>
        <v>Baleares Marfil Liso</v>
      </c>
      <c r="H927">
        <v>4.2480000000000002</v>
      </c>
      <c r="I927">
        <v>268</v>
      </c>
      <c r="J927" s="57">
        <f>+Compras[[#This Row],[Cantidad]]*Compras[[#This Row],[Precio]]</f>
        <v>1138.4640000000002</v>
      </c>
      <c r="K927">
        <v>300</v>
      </c>
      <c r="L927" s="5">
        <f t="shared" si="62"/>
        <v>1274.4000000000001</v>
      </c>
      <c r="M927" s="5">
        <f t="shared" si="63"/>
        <v>135.93599999999992</v>
      </c>
    </row>
    <row r="928" spans="1:13" hidden="1" x14ac:dyDescent="0.25">
      <c r="B928" s="1">
        <v>44144</v>
      </c>
      <c r="C928" s="57" t="str">
        <f>IF(Compras[[#This Row],[Fecha ]]="","",+TEXT(B928,"mmmm"))</f>
        <v>noviembre</v>
      </c>
      <c r="D928" s="57" t="str">
        <f>IF(Compras[[#This Row],[Codigo de Producto]]="","",+VLOOKUP(Compras[[#This Row],[Codigo de Producto]],Productos[#All],2,FALSE))</f>
        <v>Dispiasa</v>
      </c>
      <c r="E928" s="57" t="str">
        <f>IF(Compras[[#This Row],[Codigo de Producto]]="","",+VLOOKUP(Compras[[#This Row],[Codigo de Producto]],Productos[#All],3,FALSE))</f>
        <v>Pantry</v>
      </c>
      <c r="F928" t="s">
        <v>745</v>
      </c>
      <c r="G928" s="57" t="str">
        <f>IF(Compras[[#This Row],[Codigo de Producto]]="","",+VLOOKUP(Compras[[#This Row],[Codigo de Producto]],Productos[#All],4,FALSE))</f>
        <v>Pana de Pantry al Centro Tramontina</v>
      </c>
      <c r="H928">
        <v>1</v>
      </c>
      <c r="I928">
        <v>1315</v>
      </c>
      <c r="J928" s="57">
        <f>+Compras[[#This Row],[Cantidad]]*Compras[[#This Row],[Precio]]</f>
        <v>1315</v>
      </c>
      <c r="K928">
        <v>1550</v>
      </c>
      <c r="L928" s="5">
        <f t="shared" si="62"/>
        <v>1550</v>
      </c>
      <c r="M928" s="5">
        <f t="shared" si="63"/>
        <v>235</v>
      </c>
    </row>
    <row r="929" spans="2:13" hidden="1" x14ac:dyDescent="0.25">
      <c r="B929" s="1">
        <v>44146</v>
      </c>
      <c r="C929" s="57" t="str">
        <f>IF(Compras[[#This Row],[Fecha ]]="","",+TEXT(B929,"mmmm"))</f>
        <v>noviembre</v>
      </c>
      <c r="D929" s="57" t="str">
        <f>IF(Compras[[#This Row],[Codigo de Producto]]="","",+VLOOKUP(Compras[[#This Row],[Codigo de Producto]],Productos[#All],2,FALSE))</f>
        <v>Dispiasa</v>
      </c>
      <c r="E929" s="57" t="str">
        <f>IF(Compras[[#This Row],[Codigo de Producto]]="","",+VLOOKUP(Compras[[#This Row],[Codigo de Producto]],Productos[#All],3,FALSE))</f>
        <v>Cerámica</v>
      </c>
      <c r="F929" t="s">
        <v>645</v>
      </c>
      <c r="G929" s="57" t="str">
        <f>IF(Compras[[#This Row],[Codigo de Producto]]="","",+VLOOKUP(Compras[[#This Row],[Codigo de Producto]],Productos[#All],4,FALSE))</f>
        <v>822 Roble</v>
      </c>
      <c r="H929">
        <v>100</v>
      </c>
      <c r="I929">
        <v>207</v>
      </c>
      <c r="J929" s="57">
        <f>+Compras[[#This Row],[Cantidad]]*Compras[[#This Row],[Precio]]</f>
        <v>20700</v>
      </c>
      <c r="K929">
        <v>240</v>
      </c>
      <c r="L929" s="5">
        <f t="shared" si="62"/>
        <v>24000</v>
      </c>
      <c r="M929" s="5">
        <f t="shared" si="63"/>
        <v>3300</v>
      </c>
    </row>
    <row r="930" spans="2:13" hidden="1" x14ac:dyDescent="0.25">
      <c r="B930" s="1">
        <v>44147</v>
      </c>
      <c r="C930" s="57" t="str">
        <f>IF(Compras[[#This Row],[Fecha ]]="","",+TEXT(B930,"mmmm"))</f>
        <v>noviembre</v>
      </c>
      <c r="D930" s="57" t="str">
        <f>IF(Compras[[#This Row],[Codigo de Producto]]="","",+VLOOKUP(Compras[[#This Row],[Codigo de Producto]],Productos[#All],2,FALSE))</f>
        <v>Aginsa</v>
      </c>
      <c r="E930" s="57" t="str">
        <f>IF(Compras[[#This Row],[Codigo de Producto]]="","",+VLOOKUP(Compras[[#This Row],[Codigo de Producto]],Productos[#All],3,FALSE))</f>
        <v>Plasterbond</v>
      </c>
      <c r="F930" t="s">
        <v>713</v>
      </c>
      <c r="G930" s="57" t="str">
        <f>IF(Compras[[#This Row],[Codigo de Producto]]="","",+VLOOKUP(Compras[[#This Row],[Codigo de Producto]],Productos[#All],4,FALSE))</f>
        <v>Plasterbond Klebe</v>
      </c>
      <c r="H930">
        <f>12*3.8</f>
        <v>45.599999999999994</v>
      </c>
      <c r="I930">
        <v>68</v>
      </c>
      <c r="J930" s="57">
        <f>+Compras[[#This Row],[Cantidad]]*Compras[[#This Row],[Precio]]</f>
        <v>3100.7999999999997</v>
      </c>
      <c r="K930">
        <v>100</v>
      </c>
      <c r="L930" s="5">
        <f t="shared" si="62"/>
        <v>4559.9999999999991</v>
      </c>
      <c r="M930" s="5">
        <f t="shared" si="63"/>
        <v>1459.1999999999994</v>
      </c>
    </row>
    <row r="931" spans="2:13" hidden="1" x14ac:dyDescent="0.25">
      <c r="B931" s="1">
        <v>44148</v>
      </c>
      <c r="C931" s="57" t="str">
        <f>IF(Compras[[#This Row],[Fecha ]]="","",+TEXT(B931,"mmmm"))</f>
        <v>noviembre</v>
      </c>
      <c r="D931" s="57" t="str">
        <f>IF(Compras[[#This Row],[Codigo de Producto]]="","",+VLOOKUP(Compras[[#This Row],[Codigo de Producto]],Productos[#All],2,FALSE))</f>
        <v>Halcón</v>
      </c>
      <c r="E931" s="57" t="str">
        <f>IF(Compras[[#This Row],[Codigo de Producto]]="","",+VLOOKUP(Compras[[#This Row],[Codigo de Producto]],Productos[#All],3,FALSE))</f>
        <v>Porcelanato</v>
      </c>
      <c r="F931" t="s">
        <v>694</v>
      </c>
      <c r="G931" s="57" t="str">
        <f>IF(Compras[[#This Row],[Codigo de Producto]]="","",+VLOOKUP(Compras[[#This Row],[Codigo de Producto]],Productos[#All],4,FALSE))</f>
        <v>Beige Marfil</v>
      </c>
      <c r="H931">
        <v>100.08</v>
      </c>
      <c r="I931">
        <v>340</v>
      </c>
      <c r="J931" s="57">
        <f>+Compras[[#This Row],[Cantidad]]*Compras[[#This Row],[Precio]]</f>
        <v>34027.199999999997</v>
      </c>
      <c r="K931">
        <v>380</v>
      </c>
      <c r="L931" s="5">
        <f t="shared" si="62"/>
        <v>38030.400000000001</v>
      </c>
      <c r="M931" s="5">
        <f t="shared" si="63"/>
        <v>4003.2000000000044</v>
      </c>
    </row>
    <row r="932" spans="2:13" x14ac:dyDescent="0.25">
      <c r="B932" s="1">
        <v>44149</v>
      </c>
      <c r="C932" s="57" t="str">
        <f>IF(Compras[[#This Row],[Fecha ]]="","",+TEXT(B932,"mmmm"))</f>
        <v>noviembre</v>
      </c>
      <c r="D932" s="57" t="str">
        <f>IF(Compras[[#This Row],[Codigo de Producto]]="","",+VLOOKUP(Compras[[#This Row],[Codigo de Producto]],Productos[#All],2,FALSE))</f>
        <v>Comasa</v>
      </c>
      <c r="E932" s="57" t="str">
        <f>IF(Compras[[#This Row],[Codigo de Producto]]="","",+VLOOKUP(Compras[[#This Row],[Codigo de Producto]],Productos[#All],3,FALSE))</f>
        <v>Repello</v>
      </c>
      <c r="F932" t="s">
        <v>728</v>
      </c>
      <c r="G932" s="57" t="str">
        <f>IF(Compras[[#This Row],[Codigo de Producto]]="","",+VLOOKUP(Compras[[#This Row],[Codigo de Producto]],Productos[#All],4,FALSE))</f>
        <v>Repello Fino Drytec</v>
      </c>
      <c r="H932">
        <v>10</v>
      </c>
      <c r="I932">
        <v>236</v>
      </c>
      <c r="J932" s="57">
        <f>+Compras[[#This Row],[Cantidad]]*Compras[[#This Row],[Precio]]</f>
        <v>2360</v>
      </c>
      <c r="K932">
        <v>250</v>
      </c>
      <c r="L932" s="5">
        <f t="shared" si="62"/>
        <v>2500</v>
      </c>
      <c r="M932" s="5">
        <f t="shared" si="63"/>
        <v>140</v>
      </c>
    </row>
    <row r="933" spans="2:13" x14ac:dyDescent="0.25">
      <c r="B933" s="1">
        <v>44149</v>
      </c>
      <c r="C933" s="57" t="str">
        <f>IF(Compras[[#This Row],[Fecha ]]="","",+TEXT(B933,"mmmm"))</f>
        <v>noviembre</v>
      </c>
      <c r="D933" s="57" t="str">
        <f>IF(Compras[[#This Row],[Codigo de Producto]]="","",+VLOOKUP(Compras[[#This Row],[Codigo de Producto]],Productos[#All],2,FALSE))</f>
        <v>Comasa</v>
      </c>
      <c r="E933" s="57" t="str">
        <f>IF(Compras[[#This Row],[Codigo de Producto]]="","",+VLOOKUP(Compras[[#This Row],[Codigo de Producto]],Productos[#All],3,FALSE))</f>
        <v>Porcelana</v>
      </c>
      <c r="F933" s="57" t="s">
        <v>727</v>
      </c>
      <c r="G933" s="57" t="str">
        <f>IF(Compras[[#This Row],[Codigo de Producto]]="","",+VLOOKUP(Compras[[#This Row],[Codigo de Producto]],Productos[#All],4,FALSE))</f>
        <v>Naranja 3k</v>
      </c>
      <c r="H933">
        <v>17</v>
      </c>
      <c r="I933">
        <v>59</v>
      </c>
      <c r="J933" s="57">
        <f>+Compras[[#This Row],[Cantidad]]*Compras[[#This Row],[Precio]]</f>
        <v>1003</v>
      </c>
      <c r="K933">
        <v>100</v>
      </c>
      <c r="L933" s="5">
        <f t="shared" si="62"/>
        <v>1700</v>
      </c>
      <c r="M933" s="5">
        <f t="shared" si="63"/>
        <v>697</v>
      </c>
    </row>
    <row r="934" spans="2:13" x14ac:dyDescent="0.25">
      <c r="B934" s="1">
        <v>44149</v>
      </c>
      <c r="C934" s="57" t="str">
        <f>IF(Compras[[#This Row],[Fecha ]]="","",+TEXT(B934,"mmmm"))</f>
        <v>noviembre</v>
      </c>
      <c r="D934" s="57" t="str">
        <f>IF(Compras[[#This Row],[Codigo de Producto]]="","",+VLOOKUP(Compras[[#This Row],[Codigo de Producto]],Productos[#All],2,FALSE))</f>
        <v>Comasa</v>
      </c>
      <c r="E934" s="57" t="str">
        <f>IF(Compras[[#This Row],[Codigo de Producto]]="","",+VLOOKUP(Compras[[#This Row],[Codigo de Producto]],Productos[#All],3,FALSE))</f>
        <v>Cerámica</v>
      </c>
      <c r="F934" t="s">
        <v>845</v>
      </c>
      <c r="G934" s="57" t="str">
        <f>IF(Compras[[#This Row],[Codigo de Producto]]="","",+VLOOKUP(Compras[[#This Row],[Codigo de Producto]],Productos[#All],4,FALSE))</f>
        <v xml:space="preserve">Carmine </v>
      </c>
      <c r="H934">
        <v>85</v>
      </c>
      <c r="I934">
        <v>242</v>
      </c>
      <c r="J934" s="57">
        <f>+Compras[[#This Row],[Cantidad]]*Compras[[#This Row],[Precio]]</f>
        <v>20570</v>
      </c>
      <c r="K934">
        <v>280</v>
      </c>
      <c r="L934" s="5">
        <f t="shared" si="62"/>
        <v>23800</v>
      </c>
      <c r="M934" s="5">
        <f t="shared" si="63"/>
        <v>3230</v>
      </c>
    </row>
    <row r="935" spans="2:13" hidden="1" x14ac:dyDescent="0.25">
      <c r="B935" s="1">
        <v>44152</v>
      </c>
      <c r="C935" s="57" t="str">
        <f>IF(Compras[[#This Row],[Fecha ]]="","",+TEXT(B935,"mmmm"))</f>
        <v>noviembre</v>
      </c>
      <c r="D935" s="57" t="str">
        <f>IF(Compras[[#This Row],[Codigo de Producto]]="","",+VLOOKUP(Compras[[#This Row],[Codigo de Producto]],Productos[#All],2,FALSE))</f>
        <v>Dispiasa</v>
      </c>
      <c r="E935" s="57" t="str">
        <f>IF(Compras[[#This Row],[Codigo de Producto]]="","",+VLOOKUP(Compras[[#This Row],[Codigo de Producto]],Productos[#All],3,FALSE))</f>
        <v>Cerámica</v>
      </c>
      <c r="F935" t="s">
        <v>731</v>
      </c>
      <c r="G935" s="57" t="str">
        <f>IF(Compras[[#This Row],[Codigo de Producto]]="","",+VLOOKUP(Compras[[#This Row],[Codigo de Producto]],Productos[#All],4,FALSE))</f>
        <v>Sorrento Marrón Liso</v>
      </c>
      <c r="H935">
        <v>40</v>
      </c>
      <c r="I935">
        <v>268</v>
      </c>
      <c r="J935" s="57">
        <f>+Compras[[#This Row],[Cantidad]]*Compras[[#This Row],[Precio]]</f>
        <v>10720</v>
      </c>
      <c r="K935">
        <v>295</v>
      </c>
      <c r="L935" s="5">
        <f t="shared" si="62"/>
        <v>11800</v>
      </c>
      <c r="M935" s="5">
        <f t="shared" si="63"/>
        <v>1080</v>
      </c>
    </row>
    <row r="936" spans="2:13" hidden="1" x14ac:dyDescent="0.25">
      <c r="B936" s="1">
        <v>44152</v>
      </c>
      <c r="C936" s="57" t="str">
        <f>IF(Compras[[#This Row],[Fecha ]]="","",+TEXT(B936,"mmmm"))</f>
        <v>noviembre</v>
      </c>
      <c r="D936" s="57" t="str">
        <f>IF(Compras[[#This Row],[Codigo de Producto]]="","",+VLOOKUP(Compras[[#This Row],[Codigo de Producto]],Productos[#All],2,FALSE))</f>
        <v>Dispiasa</v>
      </c>
      <c r="E936" s="57" t="str">
        <f>IF(Compras[[#This Row],[Codigo de Producto]]="","",+VLOOKUP(Compras[[#This Row],[Codigo de Producto]],Productos[#All],3,FALSE))</f>
        <v>Cerámica</v>
      </c>
      <c r="F936" t="s">
        <v>646</v>
      </c>
      <c r="G936" s="57" t="str">
        <f>IF(Compras[[#This Row],[Codigo de Producto]]="","",+VLOOKUP(Compras[[#This Row],[Codigo de Producto]],Productos[#All],4,FALSE))</f>
        <v>Zacatepec Marrón</v>
      </c>
      <c r="H936">
        <v>20</v>
      </c>
      <c r="I936">
        <v>219</v>
      </c>
      <c r="J936" s="57">
        <f>+Compras[[#This Row],[Cantidad]]*Compras[[#This Row],[Precio]]</f>
        <v>4380</v>
      </c>
      <c r="K936">
        <v>250</v>
      </c>
      <c r="L936" s="5">
        <f t="shared" si="62"/>
        <v>5000</v>
      </c>
      <c r="M936" s="5">
        <f t="shared" si="63"/>
        <v>620</v>
      </c>
    </row>
    <row r="937" spans="2:13" hidden="1" x14ac:dyDescent="0.25">
      <c r="B937" s="1">
        <v>44152</v>
      </c>
      <c r="C937" s="57" t="str">
        <f>IF(Compras[[#This Row],[Fecha ]]="","",+TEXT(B937,"mmmm"))</f>
        <v>noviembre</v>
      </c>
      <c r="D937" s="57" t="str">
        <f>IF(Compras[[#This Row],[Codigo de Producto]]="","",+VLOOKUP(Compras[[#This Row],[Codigo de Producto]],Productos[#All],2,FALSE))</f>
        <v>Dispiasa</v>
      </c>
      <c r="E937" s="57" t="str">
        <f>IF(Compras[[#This Row],[Codigo de Producto]]="","",+VLOOKUP(Compras[[#This Row],[Codigo de Producto]],Productos[#All],3,FALSE))</f>
        <v>Fachaleta</v>
      </c>
      <c r="F937" t="s">
        <v>846</v>
      </c>
      <c r="G937" s="57" t="str">
        <f>IF(Compras[[#This Row],[Codigo de Producto]]="","",+VLOOKUP(Compras[[#This Row],[Codigo de Producto]],Productos[#All],4,FALSE))</f>
        <v>Creta Marrón</v>
      </c>
      <c r="H937">
        <v>10.039999999999999</v>
      </c>
      <c r="I937">
        <v>312</v>
      </c>
      <c r="J937" s="57">
        <f>+Compras[[#This Row],[Cantidad]]*Compras[[#This Row],[Precio]]</f>
        <v>3132.4799999999996</v>
      </c>
      <c r="K937">
        <v>430</v>
      </c>
      <c r="L937" s="5">
        <f t="shared" si="62"/>
        <v>4317.2</v>
      </c>
      <c r="M937" s="5">
        <f t="shared" si="63"/>
        <v>1184.7200000000003</v>
      </c>
    </row>
    <row r="938" spans="2:13" hidden="1" x14ac:dyDescent="0.25">
      <c r="B938" s="1">
        <v>44152</v>
      </c>
      <c r="C938" s="57" t="str">
        <f>IF(Compras[[#This Row],[Fecha ]]="","",+TEXT(B938,"mmmm"))</f>
        <v>noviembre</v>
      </c>
      <c r="D938" s="57" t="s">
        <v>13</v>
      </c>
      <c r="E938" s="57" t="str">
        <f>IF(Compras[[#This Row],[Codigo de Producto]]="","",+VLOOKUP(Compras[[#This Row],[Codigo de Producto]],Productos[#All],3,FALSE))</f>
        <v>Fachaleta</v>
      </c>
      <c r="F938" t="s">
        <v>846</v>
      </c>
      <c r="G938" s="57" t="str">
        <f>IF(Compras[[#This Row],[Codigo de Producto]]="","",+VLOOKUP(Compras[[#This Row],[Codigo de Producto]],Productos[#All],4,FALSE))</f>
        <v>Creta Marrón</v>
      </c>
      <c r="H938">
        <v>7.14</v>
      </c>
      <c r="I938">
        <v>335</v>
      </c>
      <c r="J938" s="57">
        <f>+Compras[[#This Row],[Cantidad]]*Compras[[#This Row],[Precio]]</f>
        <v>2391.9</v>
      </c>
      <c r="K938">
        <v>430</v>
      </c>
      <c r="L938" s="5">
        <f t="shared" si="62"/>
        <v>3070.2</v>
      </c>
      <c r="M938" s="5">
        <f t="shared" si="63"/>
        <v>678.29999999999973</v>
      </c>
    </row>
    <row r="939" spans="2:13" hidden="1" x14ac:dyDescent="0.25">
      <c r="B939" s="1">
        <v>44154</v>
      </c>
      <c r="C939" s="57" t="str">
        <f>IF(Compras[[#This Row],[Fecha ]]="","",+TEXT(B939,"mmmm"))</f>
        <v>noviembre</v>
      </c>
      <c r="D939" s="57" t="str">
        <f>IF(Compras[[#This Row],[Codigo de Producto]]="","",+VLOOKUP(Compras[[#This Row],[Codigo de Producto]],Productos[#All],2,FALSE))</f>
        <v>Halcón</v>
      </c>
      <c r="E939" s="57" t="str">
        <f>IF(Compras[[#This Row],[Codigo de Producto]]="","",+VLOOKUP(Compras[[#This Row],[Codigo de Producto]],Productos[#All],3,FALSE))</f>
        <v>Porcelanato</v>
      </c>
      <c r="F939" t="s">
        <v>659</v>
      </c>
      <c r="G939" s="57" t="str">
        <f>IF(Compras[[#This Row],[Codigo de Producto]]="","",+VLOOKUP(Compras[[#This Row],[Codigo de Producto]],Productos[#All],4,FALSE))</f>
        <v>Blanco PC010</v>
      </c>
      <c r="H939">
        <v>2.88</v>
      </c>
      <c r="I939">
        <v>415.53</v>
      </c>
      <c r="J939" s="57">
        <f>+Compras[[#This Row],[Cantidad]]*Compras[[#This Row],[Precio]]</f>
        <v>1196.7263999999998</v>
      </c>
      <c r="K939">
        <v>450</v>
      </c>
      <c r="L939" s="5">
        <f t="shared" si="62"/>
        <v>1296</v>
      </c>
      <c r="M939" s="5">
        <f t="shared" si="63"/>
        <v>99.273600000000215</v>
      </c>
    </row>
    <row r="940" spans="2:13" hidden="1" x14ac:dyDescent="0.25">
      <c r="B940" s="1">
        <v>44155</v>
      </c>
      <c r="C940" s="57" t="str">
        <f>IF(Compras[[#This Row],[Fecha ]]="","",+TEXT(B940,"mmmm"))</f>
        <v>noviembre</v>
      </c>
      <c r="D940" s="57" t="str">
        <f>IF(Compras[[#This Row],[Codigo de Producto]]="","",+VLOOKUP(Compras[[#This Row],[Codigo de Producto]],Productos[#All],2,FALSE))</f>
        <v>Silco</v>
      </c>
      <c r="E940" s="57" t="str">
        <f>IF(Compras[[#This Row],[Codigo de Producto]]="","",+VLOOKUP(Compras[[#This Row],[Codigo de Producto]],Productos[#All],3,FALSE))</f>
        <v>Separadores</v>
      </c>
      <c r="F940" t="s">
        <v>720</v>
      </c>
      <c r="G940" s="57" t="str">
        <f>IF(Compras[[#This Row],[Codigo de Producto]]="","",+VLOOKUP(Compras[[#This Row],[Codigo de Producto]],Productos[#All],4,FALSE))</f>
        <v>Separadores de 3 mm</v>
      </c>
      <c r="H940">
        <v>30</v>
      </c>
      <c r="I940">
        <v>26</v>
      </c>
      <c r="J940" s="57">
        <f>+Compras[[#This Row],[Cantidad]]*Compras[[#This Row],[Precio]]</f>
        <v>780</v>
      </c>
      <c r="K940">
        <v>35</v>
      </c>
      <c r="L940" s="5">
        <f t="shared" si="62"/>
        <v>1050</v>
      </c>
      <c r="M940" s="5">
        <f t="shared" si="63"/>
        <v>270</v>
      </c>
    </row>
    <row r="941" spans="2:13" hidden="1" x14ac:dyDescent="0.25">
      <c r="B941" s="1">
        <v>44155</v>
      </c>
      <c r="C941" s="57" t="str">
        <f>IF(Compras[[#This Row],[Fecha ]]="","",+TEXT(B941,"mmmm"))</f>
        <v>noviembre</v>
      </c>
      <c r="D941" s="57" t="str">
        <f>IF(Compras[[#This Row],[Codigo de Producto]]="","",+VLOOKUP(Compras[[#This Row],[Codigo de Producto]],Productos[#All],2,FALSE))</f>
        <v>Silco</v>
      </c>
      <c r="E941" s="57" t="str">
        <f>IF(Compras[[#This Row],[Codigo de Producto]]="","",+VLOOKUP(Compras[[#This Row],[Codigo de Producto]],Productos[#All],3,FALSE))</f>
        <v>Separadores</v>
      </c>
      <c r="F941" t="s">
        <v>721</v>
      </c>
      <c r="G941" s="57" t="str">
        <f>IF(Compras[[#This Row],[Codigo de Producto]]="","",+VLOOKUP(Compras[[#This Row],[Codigo de Producto]],Productos[#All],4,FALSE))</f>
        <v>Separadores de 4 mm</v>
      </c>
      <c r="H941">
        <v>30</v>
      </c>
      <c r="I941">
        <v>17.739999999999998</v>
      </c>
      <c r="J941" s="57">
        <f>+Compras[[#This Row],[Cantidad]]*Compras[[#This Row],[Precio]]</f>
        <v>532.19999999999993</v>
      </c>
      <c r="K941">
        <v>35</v>
      </c>
      <c r="L941" s="5">
        <f t="shared" si="62"/>
        <v>1050</v>
      </c>
      <c r="M941" s="5">
        <f t="shared" si="63"/>
        <v>517.80000000000007</v>
      </c>
    </row>
    <row r="942" spans="2:13" hidden="1" x14ac:dyDescent="0.25">
      <c r="B942" s="1">
        <v>44155</v>
      </c>
      <c r="C942" s="57" t="str">
        <f>IF(Compras[[#This Row],[Fecha ]]="","",+TEXT(B942,"mmmm"))</f>
        <v>noviembre</v>
      </c>
      <c r="D942" s="57" t="str">
        <f>IF(Compras[[#This Row],[Codigo de Producto]]="","",+VLOOKUP(Compras[[#This Row],[Codigo de Producto]],Productos[#All],2,FALSE))</f>
        <v>Silco</v>
      </c>
      <c r="E942" s="57" t="str">
        <f>IF(Compras[[#This Row],[Codigo de Producto]]="","",+VLOOKUP(Compras[[#This Row],[Codigo de Producto]],Productos[#All],3,FALSE))</f>
        <v>Iluminación</v>
      </c>
      <c r="F942" t="s">
        <v>841</v>
      </c>
      <c r="G942" s="57" t="str">
        <f>IF(Compras[[#This Row],[Codigo de Producto]]="","",+VLOOKUP(Compras[[#This Row],[Codigo de Producto]],Productos[#All],4,FALSE))</f>
        <v>Panel de Luz FSL 12w</v>
      </c>
      <c r="H942">
        <v>4</v>
      </c>
      <c r="I942">
        <v>140</v>
      </c>
      <c r="J942" s="57">
        <f>+Compras[[#This Row],[Cantidad]]*Compras[[#This Row],[Precio]]</f>
        <v>560</v>
      </c>
      <c r="K942">
        <v>190</v>
      </c>
      <c r="L942" s="5">
        <f t="shared" si="62"/>
        <v>760</v>
      </c>
      <c r="M942" s="5">
        <f t="shared" si="63"/>
        <v>200</v>
      </c>
    </row>
    <row r="943" spans="2:13" hidden="1" x14ac:dyDescent="0.25">
      <c r="B943" s="1">
        <v>44155</v>
      </c>
      <c r="C943" s="57" t="str">
        <f>IF(Compras[[#This Row],[Fecha ]]="","",+TEXT(B943,"mmmm"))</f>
        <v>noviembre</v>
      </c>
      <c r="D943" s="57" t="str">
        <f>IF(Compras[[#This Row],[Codigo de Producto]]="","",+VLOOKUP(Compras[[#This Row],[Codigo de Producto]],Productos[#All],2,FALSE))</f>
        <v>Silco</v>
      </c>
      <c r="E943" s="57" t="str">
        <f>IF(Compras[[#This Row],[Codigo de Producto]]="","",+VLOOKUP(Compras[[#This Row],[Codigo de Producto]],Productos[#All],3,FALSE))</f>
        <v>Pantry</v>
      </c>
      <c r="F943" t="s">
        <v>843</v>
      </c>
      <c r="G943" s="57" t="str">
        <f>IF(Compras[[#This Row],[Codigo de Producto]]="","",+VLOOKUP(Compras[[#This Row],[Codigo de Producto]],Productos[#All],4,FALSE))</f>
        <v>Pana de Pantry GADS</v>
      </c>
      <c r="H943">
        <v>2</v>
      </c>
      <c r="I943">
        <v>775</v>
      </c>
      <c r="J943" s="57">
        <f>+Compras[[#This Row],[Cantidad]]*Compras[[#This Row],[Precio]]</f>
        <v>1550</v>
      </c>
      <c r="K943">
        <v>1000</v>
      </c>
      <c r="L943" s="5">
        <f t="shared" si="62"/>
        <v>2000</v>
      </c>
      <c r="M943" s="5">
        <f t="shared" si="63"/>
        <v>450</v>
      </c>
    </row>
    <row r="944" spans="2:13" x14ac:dyDescent="0.25">
      <c r="B944" s="1">
        <v>44155</v>
      </c>
      <c r="C944" s="57" t="str">
        <f>IF(Compras[[#This Row],[Fecha ]]="","",+TEXT(B944,"mmmm"))</f>
        <v>noviembre</v>
      </c>
      <c r="D944" s="57" t="str">
        <f>IF(Compras[[#This Row],[Codigo de Producto]]="","",+VLOOKUP(Compras[[#This Row],[Codigo de Producto]],Productos[#All],2,FALSE))</f>
        <v>Comasa</v>
      </c>
      <c r="E944" s="57" t="str">
        <f>IF(Compras[[#This Row],[Codigo de Producto]]="","",+VLOOKUP(Compras[[#This Row],[Codigo de Producto]],Productos[#All],3,FALSE))</f>
        <v>Cerámica</v>
      </c>
      <c r="F944" t="s">
        <v>691</v>
      </c>
      <c r="G944" s="57" t="str">
        <f>IF(Compras[[#This Row],[Codigo de Producto]]="","",+VLOOKUP(Compras[[#This Row],[Codigo de Producto]],Productos[#All],4,FALSE))</f>
        <v>Madera Dinizia Oscuro</v>
      </c>
      <c r="H944">
        <v>156.6</v>
      </c>
      <c r="I944">
        <v>212</v>
      </c>
      <c r="J944" s="57">
        <f>+Compras[[#This Row],[Cantidad]]*Compras[[#This Row],[Precio]]</f>
        <v>33199.199999999997</v>
      </c>
      <c r="K944">
        <v>240</v>
      </c>
      <c r="L944" s="5">
        <f t="shared" si="62"/>
        <v>37584</v>
      </c>
      <c r="M944" s="5">
        <f t="shared" si="63"/>
        <v>4384.8000000000029</v>
      </c>
    </row>
    <row r="945" spans="2:13" hidden="1" x14ac:dyDescent="0.25">
      <c r="B945" s="1">
        <v>44155</v>
      </c>
      <c r="C945" s="57" t="str">
        <f>IF(Compras[[#This Row],[Fecha ]]="","",+TEXT(B945,"mmmm"))</f>
        <v>noviembre</v>
      </c>
      <c r="D945" s="57" t="str">
        <f>IF(Compras[[#This Row],[Codigo de Producto]]="","",+VLOOKUP(Compras[[#This Row],[Codigo de Producto]],Productos[#All],2,FALSE))</f>
        <v>Dispiasa</v>
      </c>
      <c r="E945" s="57" t="str">
        <f>IF(Compras[[#This Row],[Codigo de Producto]]="","",+VLOOKUP(Compras[[#This Row],[Codigo de Producto]],Productos[#All],3,FALSE))</f>
        <v>Lavamano</v>
      </c>
      <c r="F945" t="s">
        <v>884</v>
      </c>
      <c r="G945" s="57" t="str">
        <f>IF(Compras[[#This Row],[Codigo de Producto]]="","",+VLOOKUP(Compras[[#This Row],[Codigo de Producto]],Productos[#All],4,FALSE))</f>
        <v>Lavamano Astra Pequeño</v>
      </c>
      <c r="H945">
        <v>2</v>
      </c>
      <c r="I945">
        <v>430</v>
      </c>
      <c r="J945" s="57">
        <f>+Compras[[#This Row],[Cantidad]]*Compras[[#This Row],[Precio]]</f>
        <v>860</v>
      </c>
      <c r="K945">
        <v>600</v>
      </c>
      <c r="L945" s="5">
        <f t="shared" si="62"/>
        <v>1200</v>
      </c>
      <c r="M945" s="5">
        <f t="shared" si="63"/>
        <v>340</v>
      </c>
    </row>
    <row r="946" spans="2:13" hidden="1" x14ac:dyDescent="0.25">
      <c r="B946" s="1">
        <v>44155</v>
      </c>
      <c r="C946" s="57" t="str">
        <f>IF(Compras[[#This Row],[Fecha ]]="","",+TEXT(B946,"mmmm"))</f>
        <v>noviembre</v>
      </c>
      <c r="D946" s="57" t="str">
        <f>IF(Compras[[#This Row],[Codigo de Producto]]="","",+VLOOKUP(Compras[[#This Row],[Codigo de Producto]],Productos[#All],2,FALSE))</f>
        <v>Dispiasa</v>
      </c>
      <c r="E946" s="57" t="str">
        <f>IF(Compras[[#This Row],[Codigo de Producto]]="","",+VLOOKUP(Compras[[#This Row],[Codigo de Producto]],Productos[#All],3,FALSE))</f>
        <v>Inodoro</v>
      </c>
      <c r="F946" t="s">
        <v>885</v>
      </c>
      <c r="G946" s="57" t="str">
        <f>IF(Compras[[#This Row],[Codigo de Producto]]="","",+VLOOKUP(Compras[[#This Row],[Codigo de Producto]],Productos[#All],4,FALSE))</f>
        <v>Asiento Redondo Ecoline Blanco</v>
      </c>
      <c r="H946">
        <v>3</v>
      </c>
      <c r="I946">
        <v>311</v>
      </c>
      <c r="J946" s="57">
        <f>+Compras[[#This Row],[Cantidad]]*Compras[[#This Row],[Precio]]</f>
        <v>933</v>
      </c>
      <c r="K946">
        <v>400</v>
      </c>
      <c r="L946" s="5">
        <f t="shared" si="62"/>
        <v>1200</v>
      </c>
      <c r="M946" s="5">
        <f t="shared" si="63"/>
        <v>267</v>
      </c>
    </row>
    <row r="947" spans="2:13" hidden="1" x14ac:dyDescent="0.25">
      <c r="B947" s="1">
        <v>44155</v>
      </c>
      <c r="C947" s="57" t="str">
        <f>IF(Compras[[#This Row],[Fecha ]]="","",+TEXT(B947,"mmmm"))</f>
        <v>noviembre</v>
      </c>
      <c r="D947" s="57" t="str">
        <f>IF(Compras[[#This Row],[Codigo de Producto]]="","",+VLOOKUP(Compras[[#This Row],[Codigo de Producto]],Productos[#All],2,FALSE))</f>
        <v>Dispiasa</v>
      </c>
      <c r="E947" s="57" t="str">
        <f>IF(Compras[[#This Row],[Codigo de Producto]]="","",+VLOOKUP(Compras[[#This Row],[Codigo de Producto]],Productos[#All],3,FALSE))</f>
        <v>Inodoro</v>
      </c>
      <c r="F947" t="s">
        <v>618</v>
      </c>
      <c r="G947" s="57" t="str">
        <f>IF(Compras[[#This Row],[Codigo de Producto]]="","",+VLOOKUP(Compras[[#This Row],[Codigo de Producto]],Productos[#All],4,FALSE))</f>
        <v>Inodoro Aqua Blanco</v>
      </c>
      <c r="H947">
        <v>10</v>
      </c>
      <c r="I947">
        <v>1440</v>
      </c>
      <c r="J947" s="57">
        <f>+Compras[[#This Row],[Cantidad]]*Compras[[#This Row],[Precio]]</f>
        <v>14400</v>
      </c>
      <c r="K947">
        <v>1650</v>
      </c>
      <c r="L947" s="5">
        <f t="shared" si="62"/>
        <v>16500</v>
      </c>
      <c r="M947" s="5">
        <f t="shared" si="63"/>
        <v>2100</v>
      </c>
    </row>
    <row r="948" spans="2:13" x14ac:dyDescent="0.25">
      <c r="B948" s="1">
        <v>44156</v>
      </c>
      <c r="C948" s="57" t="str">
        <f>IF(Compras[[#This Row],[Fecha ]]="","",+TEXT(B948,"mmmm"))</f>
        <v>noviembre</v>
      </c>
      <c r="D948" s="57" t="str">
        <f>IF(Compras[[#This Row],[Codigo de Producto]]="","",+VLOOKUP(Compras[[#This Row],[Codigo de Producto]],Productos[#All],2,FALSE))</f>
        <v>Comasa</v>
      </c>
      <c r="E948" s="57" t="str">
        <f>IF(Compras[[#This Row],[Codigo de Producto]]="","",+VLOOKUP(Compras[[#This Row],[Codigo de Producto]],Productos[#All],3,FALSE))</f>
        <v>Cerámica</v>
      </c>
      <c r="F948" t="s">
        <v>869</v>
      </c>
      <c r="G948" s="57" t="str">
        <f>IF(Compras[[#This Row],[Codigo de Producto]]="","",+VLOOKUP(Compras[[#This Row],[Codigo de Producto]],Productos[#All],4,FALSE))</f>
        <v>Omega Madera</v>
      </c>
      <c r="H948">
        <v>10</v>
      </c>
      <c r="I948">
        <v>248</v>
      </c>
      <c r="J948" s="57">
        <f>+Compras[[#This Row],[Cantidad]]*Compras[[#This Row],[Precio]]</f>
        <v>2480</v>
      </c>
      <c r="K948">
        <v>290</v>
      </c>
      <c r="L948" s="5">
        <f t="shared" ref="L948:L979" si="64">+H948*K948</f>
        <v>2900</v>
      </c>
      <c r="M948" s="5">
        <f t="shared" ref="M948:M979" si="65">+L948-J948</f>
        <v>420</v>
      </c>
    </row>
    <row r="949" spans="2:13" x14ac:dyDescent="0.25">
      <c r="B949" s="1">
        <v>44156</v>
      </c>
      <c r="C949" s="57" t="str">
        <f>IF(Compras[[#This Row],[Fecha ]]="","",+TEXT(B949,"mmmm"))</f>
        <v>noviembre</v>
      </c>
      <c r="D949" s="57" t="str">
        <f>IF(Compras[[#This Row],[Codigo de Producto]]="","",+VLOOKUP(Compras[[#This Row],[Codigo de Producto]],Productos[#All],2,FALSE))</f>
        <v>Comasa</v>
      </c>
      <c r="E949" s="57" t="str">
        <f>IF(Compras[[#This Row],[Codigo de Producto]]="","",+VLOOKUP(Compras[[#This Row],[Codigo de Producto]],Productos[#All],3,FALSE))</f>
        <v>Cerámica</v>
      </c>
      <c r="F949" t="s">
        <v>696</v>
      </c>
      <c r="G949" s="57" t="str">
        <f>IF(Compras[[#This Row],[Codigo de Producto]]="","",+VLOOKUP(Compras[[#This Row],[Codigo de Producto]],Productos[#All],4,FALSE))</f>
        <v>Madera Cedro</v>
      </c>
      <c r="H949">
        <v>50</v>
      </c>
      <c r="I949">
        <v>235</v>
      </c>
      <c r="J949" s="57">
        <f>+Compras[[#This Row],[Cantidad]]*Compras[[#This Row],[Precio]]</f>
        <v>11750</v>
      </c>
      <c r="K949">
        <v>280</v>
      </c>
      <c r="L949" s="5">
        <f t="shared" si="64"/>
        <v>14000</v>
      </c>
      <c r="M949" s="5">
        <f t="shared" si="65"/>
        <v>2250</v>
      </c>
    </row>
    <row r="950" spans="2:13" x14ac:dyDescent="0.25">
      <c r="B950" s="1">
        <v>44156</v>
      </c>
      <c r="C950" s="57" t="str">
        <f>IF(Compras[[#This Row],[Fecha ]]="","",+TEXT(B950,"mmmm"))</f>
        <v>noviembre</v>
      </c>
      <c r="D950" s="57" t="str">
        <f>IF(Compras[[#This Row],[Codigo de Producto]]="","",+VLOOKUP(Compras[[#This Row],[Codigo de Producto]],Productos[#All],2,FALSE))</f>
        <v>Comasa</v>
      </c>
      <c r="E950" s="57" t="str">
        <f>IF(Compras[[#This Row],[Codigo de Producto]]="","",+VLOOKUP(Compras[[#This Row],[Codigo de Producto]],Productos[#All],3,FALSE))</f>
        <v>Azulejos</v>
      </c>
      <c r="F950" t="s">
        <v>870</v>
      </c>
      <c r="G950" s="57" t="str">
        <f>IF(Compras[[#This Row],[Codigo de Producto]]="","",+VLOOKUP(Compras[[#This Row],[Codigo de Producto]],Productos[#All],4,FALSE))</f>
        <v>Andes Plus Blanco</v>
      </c>
      <c r="H950">
        <v>10</v>
      </c>
      <c r="I950">
        <v>272</v>
      </c>
      <c r="J950" s="57">
        <f>+Compras[[#This Row],[Cantidad]]*Compras[[#This Row],[Precio]]</f>
        <v>2720</v>
      </c>
      <c r="K950">
        <v>300</v>
      </c>
      <c r="L950" s="5">
        <f t="shared" si="64"/>
        <v>3000</v>
      </c>
      <c r="M950" s="5">
        <f t="shared" si="65"/>
        <v>280</v>
      </c>
    </row>
    <row r="951" spans="2:13" hidden="1" x14ac:dyDescent="0.25">
      <c r="B951" s="1">
        <v>44159</v>
      </c>
      <c r="C951" s="57" t="str">
        <f>IF(Compras[[#This Row],[Fecha ]]="","",+TEXT(B951,"mmmm"))</f>
        <v>noviembre</v>
      </c>
      <c r="D951" s="57" t="str">
        <f>IF(Compras[[#This Row],[Codigo de Producto]]="","",+VLOOKUP(Compras[[#This Row],[Codigo de Producto]],Productos[#All],2,FALSE))</f>
        <v>Dispiasa</v>
      </c>
      <c r="E951" s="57" t="str">
        <f>IF(Compras[[#This Row],[Codigo de Producto]]="","",+VLOOKUP(Compras[[#This Row],[Codigo de Producto]],Productos[#All],3,FALSE))</f>
        <v>Inodoro</v>
      </c>
      <c r="F951" t="s">
        <v>621</v>
      </c>
      <c r="G951" s="57" t="str">
        <f>IF(Compras[[#This Row],[Codigo de Producto]]="","",+VLOOKUP(Compras[[#This Row],[Codigo de Producto]],Productos[#All],4,FALSE))</f>
        <v>Inodoro Ecoline Day Dream</v>
      </c>
      <c r="H951">
        <v>1</v>
      </c>
      <c r="I951">
        <v>1636</v>
      </c>
      <c r="J951" s="57">
        <f>+Compras[[#This Row],[Cantidad]]*Compras[[#This Row],[Precio]]</f>
        <v>1636</v>
      </c>
      <c r="K951">
        <v>1850</v>
      </c>
      <c r="L951" s="5">
        <f t="shared" si="64"/>
        <v>1850</v>
      </c>
      <c r="M951" s="5">
        <f t="shared" si="65"/>
        <v>214</v>
      </c>
    </row>
    <row r="952" spans="2:13" hidden="1" x14ac:dyDescent="0.25">
      <c r="B952" s="1">
        <v>44159</v>
      </c>
      <c r="C952" s="57" t="str">
        <f>IF(Compras[[#This Row],[Fecha ]]="","",+TEXT(B952,"mmmm"))</f>
        <v>noviembre</v>
      </c>
      <c r="D952" s="57" t="str">
        <f>IF(Compras[[#This Row],[Codigo de Producto]]="","",+VLOOKUP(Compras[[#This Row],[Codigo de Producto]],Productos[#All],2,FALSE))</f>
        <v>Dispiasa</v>
      </c>
      <c r="E952" s="57" t="str">
        <f>IF(Compras[[#This Row],[Codigo de Producto]]="","",+VLOOKUP(Compras[[#This Row],[Codigo de Producto]],Productos[#All],3,FALSE))</f>
        <v>Inodoro</v>
      </c>
      <c r="F952" t="s">
        <v>683</v>
      </c>
      <c r="G952" s="57" t="str">
        <f>IF(Compras[[#This Row],[Codigo de Producto]]="","",+VLOOKUP(Compras[[#This Row],[Codigo de Producto]],Productos[#All],4,FALSE))</f>
        <v>Inodoro Ecoline Rojo Vino</v>
      </c>
      <c r="H952">
        <v>2</v>
      </c>
      <c r="I952">
        <v>1743</v>
      </c>
      <c r="J952" s="57">
        <f>+Compras[[#This Row],[Cantidad]]*Compras[[#This Row],[Precio]]</f>
        <v>3486</v>
      </c>
      <c r="K952">
        <v>1950</v>
      </c>
      <c r="L952" s="5">
        <f t="shared" si="64"/>
        <v>3900</v>
      </c>
      <c r="M952" s="5">
        <f t="shared" si="65"/>
        <v>414</v>
      </c>
    </row>
    <row r="953" spans="2:13" hidden="1" x14ac:dyDescent="0.25">
      <c r="B953" s="1">
        <v>44159</v>
      </c>
      <c r="C953" s="57" t="str">
        <f>IF(Compras[[#This Row],[Fecha ]]="","",+TEXT(B953,"mmmm"))</f>
        <v>noviembre</v>
      </c>
      <c r="D953" s="57" t="str">
        <f>IF(Compras[[#This Row],[Codigo de Producto]]="","",+VLOOKUP(Compras[[#This Row],[Codigo de Producto]],Productos[#All],2,FALSE))</f>
        <v>Dispiasa</v>
      </c>
      <c r="E953" s="57" t="str">
        <f>IF(Compras[[#This Row],[Codigo de Producto]]="","",+VLOOKUP(Compras[[#This Row],[Codigo de Producto]],Productos[#All],3,FALSE))</f>
        <v>Inodoro</v>
      </c>
      <c r="F953" t="s">
        <v>874</v>
      </c>
      <c r="G953" s="57" t="str">
        <f>IF(Compras[[#This Row],[Codigo de Producto]]="","",+VLOOKUP(Compras[[#This Row],[Codigo de Producto]],Productos[#All],4,FALSE))</f>
        <v>Inodoro Ecoline Azul</v>
      </c>
      <c r="H953">
        <v>1</v>
      </c>
      <c r="I953">
        <v>1718</v>
      </c>
      <c r="J953" s="57">
        <f>+Compras[[#This Row],[Cantidad]]*Compras[[#This Row],[Precio]]</f>
        <v>1718</v>
      </c>
      <c r="K953">
        <v>1950</v>
      </c>
      <c r="L953" s="5">
        <f t="shared" si="64"/>
        <v>1950</v>
      </c>
      <c r="M953" s="5">
        <f t="shared" si="65"/>
        <v>232</v>
      </c>
    </row>
    <row r="954" spans="2:13" hidden="1" x14ac:dyDescent="0.25">
      <c r="B954" s="1">
        <v>44159</v>
      </c>
      <c r="C954" s="57" t="str">
        <f>IF(Compras[[#This Row],[Fecha ]]="","",+TEXT(B954,"mmmm"))</f>
        <v>noviembre</v>
      </c>
      <c r="D954" s="57" t="str">
        <f>IF(Compras[[#This Row],[Codigo de Producto]]="","",+VLOOKUP(Compras[[#This Row],[Codigo de Producto]],Productos[#All],2,FALSE))</f>
        <v>Dispiasa</v>
      </c>
      <c r="E954" s="57" t="str">
        <f>IF(Compras[[#This Row],[Codigo de Producto]]="","",+VLOOKUP(Compras[[#This Row],[Codigo de Producto]],Productos[#All],3,FALSE))</f>
        <v>Inodoro</v>
      </c>
      <c r="F954" t="s">
        <v>875</v>
      </c>
      <c r="G954" s="57" t="str">
        <f>IF(Compras[[#This Row],[Codigo de Producto]]="","",+VLOOKUP(Compras[[#This Row],[Codigo de Producto]],Productos[#All],4,FALSE))</f>
        <v>Inodoro Ecoline Verde Tropical</v>
      </c>
      <c r="H954">
        <v>1</v>
      </c>
      <c r="I954">
        <v>1718</v>
      </c>
      <c r="J954" s="57">
        <f>+Compras[[#This Row],[Cantidad]]*Compras[[#This Row],[Precio]]</f>
        <v>1718</v>
      </c>
      <c r="K954">
        <v>1950</v>
      </c>
      <c r="L954" s="5">
        <f t="shared" si="64"/>
        <v>1950</v>
      </c>
      <c r="M954" s="5">
        <f t="shared" si="65"/>
        <v>232</v>
      </c>
    </row>
    <row r="955" spans="2:13" hidden="1" x14ac:dyDescent="0.25">
      <c r="B955" s="1">
        <v>44159</v>
      </c>
      <c r="C955" s="57" t="str">
        <f>IF(Compras[[#This Row],[Fecha ]]="","",+TEXT(B955,"mmmm"))</f>
        <v>noviembre</v>
      </c>
      <c r="D955" s="57" t="str">
        <f>IF(Compras[[#This Row],[Codigo de Producto]]="","",+VLOOKUP(Compras[[#This Row],[Codigo de Producto]],Productos[#All],2,FALSE))</f>
        <v>Dispiasa</v>
      </c>
      <c r="E955" s="57" t="str">
        <f>IF(Compras[[#This Row],[Codigo de Producto]]="","",+VLOOKUP(Compras[[#This Row],[Codigo de Producto]],Productos[#All],3,FALSE))</f>
        <v>Lavamano</v>
      </c>
      <c r="F955" t="s">
        <v>855</v>
      </c>
      <c r="G955" s="57" t="str">
        <f>IF(Compras[[#This Row],[Codigo de Producto]]="","",+VLOOKUP(Compras[[#This Row],[Codigo de Producto]],Productos[#All],4,FALSE))</f>
        <v>Lavamano Ecoline Day Dream</v>
      </c>
      <c r="H955">
        <v>1</v>
      </c>
      <c r="I955">
        <v>785</v>
      </c>
      <c r="J955" s="57">
        <f>+Compras[[#This Row],[Cantidad]]*Compras[[#This Row],[Precio]]</f>
        <v>785</v>
      </c>
      <c r="K955">
        <v>1450</v>
      </c>
      <c r="L955" s="5">
        <f t="shared" si="64"/>
        <v>1450</v>
      </c>
      <c r="M955" s="5">
        <f t="shared" si="65"/>
        <v>665</v>
      </c>
    </row>
    <row r="956" spans="2:13" hidden="1" x14ac:dyDescent="0.25">
      <c r="B956" s="1">
        <v>44159</v>
      </c>
      <c r="C956" s="57" t="str">
        <f>IF(Compras[[#This Row],[Fecha ]]="","",+TEXT(B956,"mmmm"))</f>
        <v>noviembre</v>
      </c>
      <c r="D956" s="57" t="str">
        <f>IF(Compras[[#This Row],[Codigo de Producto]]="","",+VLOOKUP(Compras[[#This Row],[Codigo de Producto]],Productos[#All],2,FALSE))</f>
        <v>Dispiasa</v>
      </c>
      <c r="E956" s="57" t="str">
        <f>IF(Compras[[#This Row],[Codigo de Producto]]="","",+VLOOKUP(Compras[[#This Row],[Codigo de Producto]],Productos[#All],3,FALSE))</f>
        <v>Lavamano</v>
      </c>
      <c r="F956" t="s">
        <v>877</v>
      </c>
      <c r="G956" s="57" t="str">
        <f>IF(Compras[[#This Row],[Codigo de Producto]]="","",+VLOOKUP(Compras[[#This Row],[Codigo de Producto]],Productos[#All],4,FALSE))</f>
        <v>Lavamano Ecoline Azul</v>
      </c>
      <c r="H956">
        <v>1</v>
      </c>
      <c r="I956">
        <v>789</v>
      </c>
      <c r="J956" s="57">
        <f>+Compras[[#This Row],[Cantidad]]*Compras[[#This Row],[Precio]]</f>
        <v>789</v>
      </c>
      <c r="K956">
        <v>1450</v>
      </c>
      <c r="L956" s="5">
        <f t="shared" si="64"/>
        <v>1450</v>
      </c>
      <c r="M956" s="5">
        <f t="shared" si="65"/>
        <v>661</v>
      </c>
    </row>
    <row r="957" spans="2:13" hidden="1" x14ac:dyDescent="0.25">
      <c r="B957" s="1">
        <v>44159</v>
      </c>
      <c r="C957" s="57" t="str">
        <f>IF(Compras[[#This Row],[Fecha ]]="","",+TEXT(B957,"mmmm"))</f>
        <v>noviembre</v>
      </c>
      <c r="D957" s="57" t="str">
        <f>IF(Compras[[#This Row],[Codigo de Producto]]="","",+VLOOKUP(Compras[[#This Row],[Codigo de Producto]],Productos[#All],2,FALSE))</f>
        <v>Dispiasa</v>
      </c>
      <c r="E957" s="57" t="str">
        <f>IF(Compras[[#This Row],[Codigo de Producto]]="","",+VLOOKUP(Compras[[#This Row],[Codigo de Producto]],Productos[#All],3,FALSE))</f>
        <v>Lavamano</v>
      </c>
      <c r="F957" t="s">
        <v>878</v>
      </c>
      <c r="G957" s="57" t="str">
        <f>IF(Compras[[#This Row],[Codigo de Producto]]="","",+VLOOKUP(Compras[[#This Row],[Codigo de Producto]],Productos[#All],4,FALSE))</f>
        <v>Lavamano Ecoline Verde</v>
      </c>
      <c r="H957">
        <v>1</v>
      </c>
      <c r="I957">
        <v>789</v>
      </c>
      <c r="J957" s="57">
        <f>+Compras[[#This Row],[Cantidad]]*Compras[[#This Row],[Precio]]</f>
        <v>789</v>
      </c>
      <c r="K957">
        <v>1450</v>
      </c>
      <c r="L957" s="5">
        <f t="shared" si="64"/>
        <v>1450</v>
      </c>
      <c r="M957" s="5">
        <f t="shared" si="65"/>
        <v>661</v>
      </c>
    </row>
    <row r="958" spans="2:13" hidden="1" x14ac:dyDescent="0.25">
      <c r="B958" s="1">
        <v>44159</v>
      </c>
      <c r="C958" s="57" t="str">
        <f>IF(Compras[[#This Row],[Fecha ]]="","",+TEXT(B958,"mmmm"))</f>
        <v>noviembre</v>
      </c>
      <c r="D958" s="57" t="str">
        <f>IF(Compras[[#This Row],[Codigo de Producto]]="","",+VLOOKUP(Compras[[#This Row],[Codigo de Producto]],Productos[#All],2,FALSE))</f>
        <v>Dispiasa</v>
      </c>
      <c r="E958" s="57" t="str">
        <f>IF(Compras[[#This Row],[Codigo de Producto]]="","",+VLOOKUP(Compras[[#This Row],[Codigo de Producto]],Productos[#All],3,FALSE))</f>
        <v>Azulejos</v>
      </c>
      <c r="F958" t="s">
        <v>632</v>
      </c>
      <c r="G958" s="57" t="str">
        <f>IF(Compras[[#This Row],[Codigo de Producto]]="","",+VLOOKUP(Compras[[#This Row],[Codigo de Producto]],Productos[#All],4,FALSE))</f>
        <v>Breccia Café Liso</v>
      </c>
      <c r="H958">
        <v>10</v>
      </c>
      <c r="I958">
        <v>283</v>
      </c>
      <c r="J958" s="57">
        <f>+Compras[[#This Row],[Cantidad]]*Compras[[#This Row],[Precio]]</f>
        <v>2830</v>
      </c>
      <c r="K958">
        <v>310</v>
      </c>
      <c r="L958" s="5">
        <f t="shared" si="64"/>
        <v>3100</v>
      </c>
      <c r="M958" s="5">
        <f t="shared" si="65"/>
        <v>270</v>
      </c>
    </row>
    <row r="959" spans="2:13" hidden="1" x14ac:dyDescent="0.25">
      <c r="B959" s="1">
        <v>44159</v>
      </c>
      <c r="C959" s="57" t="str">
        <f>IF(Compras[[#This Row],[Fecha ]]="","",+TEXT(B959,"mmmm"))</f>
        <v>noviembre</v>
      </c>
      <c r="D959" s="57" t="str">
        <f>IF(Compras[[#This Row],[Codigo de Producto]]="","",+VLOOKUP(Compras[[#This Row],[Codigo de Producto]],Productos[#All],2,FALSE))</f>
        <v>Dispiasa</v>
      </c>
      <c r="E959" s="57" t="str">
        <f>IF(Compras[[#This Row],[Codigo de Producto]]="","",+VLOOKUP(Compras[[#This Row],[Codigo de Producto]],Productos[#All],3,FALSE))</f>
        <v>Cerámica</v>
      </c>
      <c r="F959" t="s">
        <v>660</v>
      </c>
      <c r="G959" s="57" t="str">
        <f>IF(Compras[[#This Row],[Codigo de Producto]]="","",+VLOOKUP(Compras[[#This Row],[Codigo de Producto]],Productos[#All],4,FALSE))</f>
        <v>Mosaico Azul</v>
      </c>
      <c r="H959">
        <v>5.32</v>
      </c>
      <c r="I959">
        <v>268</v>
      </c>
      <c r="J959" s="57">
        <f>+Compras[[#This Row],[Cantidad]]*Compras[[#This Row],[Precio]]</f>
        <v>1425.76</v>
      </c>
      <c r="K959">
        <v>300</v>
      </c>
      <c r="L959" s="5">
        <f t="shared" si="64"/>
        <v>1596</v>
      </c>
      <c r="M959" s="5">
        <f t="shared" si="65"/>
        <v>170.24</v>
      </c>
    </row>
    <row r="960" spans="2:13" hidden="1" x14ac:dyDescent="0.25">
      <c r="B960" s="1">
        <v>44159</v>
      </c>
      <c r="C960" s="57" t="str">
        <f>IF(Compras[[#This Row],[Fecha ]]="","",+TEXT(B960,"mmmm"))</f>
        <v>noviembre</v>
      </c>
      <c r="D960" s="57" t="str">
        <f>IF(Compras[[#This Row],[Codigo de Producto]]="","",+VLOOKUP(Compras[[#This Row],[Codigo de Producto]],Productos[#All],2,FALSE))</f>
        <v>Dispiasa</v>
      </c>
      <c r="E960" s="57" t="str">
        <f>IF(Compras[[#This Row],[Codigo de Producto]]="","",+VLOOKUP(Compras[[#This Row],[Codigo de Producto]],Productos[#All],3,FALSE))</f>
        <v>Cerámica</v>
      </c>
      <c r="F960" t="s">
        <v>663</v>
      </c>
      <c r="G960" s="57" t="str">
        <f>IF(Compras[[#This Row],[Codigo de Producto]]="","",+VLOOKUP(Compras[[#This Row],[Codigo de Producto]],Productos[#All],4,FALSE))</f>
        <v>Mosaico Verde</v>
      </c>
      <c r="H960">
        <v>5.32</v>
      </c>
      <c r="I960">
        <v>268</v>
      </c>
      <c r="J960" s="57">
        <f>+Compras[[#This Row],[Cantidad]]*Compras[[#This Row],[Precio]]</f>
        <v>1425.76</v>
      </c>
      <c r="K960">
        <v>300</v>
      </c>
      <c r="L960" s="5">
        <f t="shared" si="64"/>
        <v>1596</v>
      </c>
      <c r="M960" s="5">
        <f t="shared" si="65"/>
        <v>170.24</v>
      </c>
    </row>
    <row r="961" spans="2:13" hidden="1" x14ac:dyDescent="0.25">
      <c r="B961" s="1">
        <v>44159</v>
      </c>
      <c r="C961" s="57" t="str">
        <f>IF(Compras[[#This Row],[Fecha ]]="","",+TEXT(B961,"mmmm"))</f>
        <v>noviembre</v>
      </c>
      <c r="D961" s="57" t="str">
        <f>IF(Compras[[#This Row],[Codigo de Producto]]="","",+VLOOKUP(Compras[[#This Row],[Codigo de Producto]],Productos[#All],2,FALSE))</f>
        <v>Dispiasa</v>
      </c>
      <c r="E961" s="57" t="str">
        <f>IF(Compras[[#This Row],[Codigo de Producto]]="","",+VLOOKUP(Compras[[#This Row],[Codigo de Producto]],Productos[#All],3,FALSE))</f>
        <v>Cerámica</v>
      </c>
      <c r="F961" t="s">
        <v>661</v>
      </c>
      <c r="G961" s="57" t="str">
        <f>IF(Compras[[#This Row],[Codigo de Producto]]="","",+VLOOKUP(Compras[[#This Row],[Codigo de Producto]],Productos[#All],4,FALSE))</f>
        <v>Mosaico Rosa</v>
      </c>
      <c r="H961">
        <v>5.32</v>
      </c>
      <c r="I961">
        <v>268</v>
      </c>
      <c r="J961" s="57">
        <f>+Compras[[#This Row],[Cantidad]]*Compras[[#This Row],[Precio]]</f>
        <v>1425.76</v>
      </c>
      <c r="K961">
        <v>300</v>
      </c>
      <c r="L961" s="5">
        <f t="shared" si="64"/>
        <v>1596</v>
      </c>
      <c r="M961" s="5">
        <f t="shared" si="65"/>
        <v>170.24</v>
      </c>
    </row>
    <row r="962" spans="2:13" hidden="1" x14ac:dyDescent="0.25">
      <c r="B962" s="1">
        <v>44159</v>
      </c>
      <c r="C962" s="57" t="str">
        <f>IF(Compras[[#This Row],[Fecha ]]="","",+TEXT(B962,"mmmm"))</f>
        <v>noviembre</v>
      </c>
      <c r="D962" s="57" t="str">
        <f>IF(Compras[[#This Row],[Codigo de Producto]]="","",+VLOOKUP(Compras[[#This Row],[Codigo de Producto]],Productos[#All],2,FALSE))</f>
        <v>Dispiasa</v>
      </c>
      <c r="E962" s="57" t="str">
        <f>IF(Compras[[#This Row],[Codigo de Producto]]="","",+VLOOKUP(Compras[[#This Row],[Codigo de Producto]],Productos[#All],3,FALSE))</f>
        <v>Cerámica</v>
      </c>
      <c r="F962" t="s">
        <v>880</v>
      </c>
      <c r="G962" s="57" t="str">
        <f>IF(Compras[[#This Row],[Codigo de Producto]]="","",+VLOOKUP(Compras[[#This Row],[Codigo de Producto]],Productos[#All],4,FALSE))</f>
        <v>Ebro Beige</v>
      </c>
      <c r="H962">
        <v>5.32</v>
      </c>
      <c r="I962">
        <v>268</v>
      </c>
      <c r="J962" s="57">
        <f>+Compras[[#This Row],[Cantidad]]*Compras[[#This Row],[Precio]]</f>
        <v>1425.76</v>
      </c>
      <c r="K962">
        <v>300</v>
      </c>
      <c r="L962" s="5">
        <f t="shared" si="64"/>
        <v>1596</v>
      </c>
      <c r="M962" s="5">
        <f t="shared" si="65"/>
        <v>170.24</v>
      </c>
    </row>
    <row r="963" spans="2:13" hidden="1" x14ac:dyDescent="0.25">
      <c r="B963" s="1">
        <v>44159</v>
      </c>
      <c r="C963" s="57" t="str">
        <f>IF(Compras[[#This Row],[Fecha ]]="","",+TEXT(B963,"mmmm"))</f>
        <v>noviembre</v>
      </c>
      <c r="D963" s="57" t="str">
        <f>IF(Compras[[#This Row],[Codigo de Producto]]="","",+VLOOKUP(Compras[[#This Row],[Codigo de Producto]],Productos[#All],2,FALSE))</f>
        <v>Dispiasa</v>
      </c>
      <c r="E963" s="57" t="str">
        <f>IF(Compras[[#This Row],[Codigo de Producto]]="","",+VLOOKUP(Compras[[#This Row],[Codigo de Producto]],Productos[#All],3,FALSE))</f>
        <v>Cerámica</v>
      </c>
      <c r="F963" t="s">
        <v>881</v>
      </c>
      <c r="G963" s="57" t="str">
        <f>IF(Compras[[#This Row],[Codigo de Producto]]="","",+VLOOKUP(Compras[[#This Row],[Codigo de Producto]],Productos[#All],4,FALSE))</f>
        <v>Natal Marrón</v>
      </c>
      <c r="H963">
        <v>100</v>
      </c>
      <c r="I963">
        <v>207</v>
      </c>
      <c r="J963" s="57">
        <f>+Compras[[#This Row],[Cantidad]]*Compras[[#This Row],[Precio]]</f>
        <v>20700</v>
      </c>
      <c r="K963">
        <v>240</v>
      </c>
      <c r="L963" s="5">
        <f t="shared" si="64"/>
        <v>24000</v>
      </c>
      <c r="M963" s="5">
        <f t="shared" si="65"/>
        <v>3300</v>
      </c>
    </row>
    <row r="964" spans="2:13" hidden="1" x14ac:dyDescent="0.25">
      <c r="B964" s="1">
        <v>44160</v>
      </c>
      <c r="C964" s="57" t="str">
        <f>IF(Compras[[#This Row],[Fecha ]]="","",+TEXT(B964,"mmmm"))</f>
        <v>noviembre</v>
      </c>
      <c r="D964" s="57" t="s">
        <v>13</v>
      </c>
      <c r="E964" s="57" t="str">
        <f>IF(Compras[[#This Row],[Codigo de Producto]]="","",+VLOOKUP(Compras[[#This Row],[Codigo de Producto]],Productos[#All],3,FALSE))</f>
        <v>Bond</v>
      </c>
      <c r="F964" t="s">
        <v>704</v>
      </c>
      <c r="G964" s="57" t="str">
        <f>IF(Compras[[#This Row],[Codigo de Producto]]="","",+VLOOKUP(Compras[[#This Row],[Codigo de Producto]],Productos[#All],4,FALSE))</f>
        <v>Drytec Bond Plus</v>
      </c>
      <c r="H964">
        <v>28</v>
      </c>
      <c r="I964">
        <v>135</v>
      </c>
      <c r="J964" s="57">
        <f>+Compras[[#This Row],[Cantidad]]*Compras[[#This Row],[Precio]]</f>
        <v>3780</v>
      </c>
      <c r="K964">
        <v>155</v>
      </c>
      <c r="L964" s="5">
        <f t="shared" si="64"/>
        <v>4340</v>
      </c>
      <c r="M964" s="5">
        <f t="shared" si="65"/>
        <v>560</v>
      </c>
    </row>
    <row r="965" spans="2:13" hidden="1" x14ac:dyDescent="0.25">
      <c r="B965" s="1">
        <v>44162</v>
      </c>
      <c r="C965" s="57" t="str">
        <f>IF(Compras[[#This Row],[Fecha ]]="","",+TEXT(B965,"mmmm"))</f>
        <v>noviembre</v>
      </c>
      <c r="D965" s="57" t="str">
        <f>IF(Compras[[#This Row],[Codigo de Producto]]="","",+VLOOKUP(Compras[[#This Row],[Codigo de Producto]],Productos[#All],2,FALSE))</f>
        <v>Martinez</v>
      </c>
      <c r="E965" s="57" t="str">
        <f>IF(Compras[[#This Row],[Codigo de Producto]]="","",+VLOOKUP(Compras[[#This Row],[Codigo de Producto]],Productos[#All],3,FALSE))</f>
        <v>Bond</v>
      </c>
      <c r="F965" t="s">
        <v>888</v>
      </c>
      <c r="G965" s="57" t="str">
        <f>IF(Compras[[#This Row],[Codigo de Producto]]="","",+VLOOKUP(Compras[[#This Row],[Codigo de Producto]],Productos[#All],4,FALSE))</f>
        <v>Diamond Bond Plus</v>
      </c>
      <c r="H965">
        <v>50</v>
      </c>
      <c r="I965">
        <v>83</v>
      </c>
      <c r="J965" s="57">
        <f>+Compras[[#This Row],[Cantidad]]*Compras[[#This Row],[Precio]]</f>
        <v>4150</v>
      </c>
      <c r="K965">
        <v>120</v>
      </c>
      <c r="L965" s="5">
        <f t="shared" si="64"/>
        <v>6000</v>
      </c>
      <c r="M965" s="5">
        <f t="shared" si="65"/>
        <v>1850</v>
      </c>
    </row>
    <row r="966" spans="2:13" hidden="1" x14ac:dyDescent="0.25">
      <c r="B966" s="1">
        <v>44162</v>
      </c>
      <c r="C966" s="57" t="str">
        <f>IF(Compras[[#This Row],[Fecha ]]="","",+TEXT(B966,"mmmm"))</f>
        <v>noviembre</v>
      </c>
      <c r="D966" s="57" t="str">
        <f>IF(Compras[[#This Row],[Codigo de Producto]]="","",+VLOOKUP(Compras[[#This Row],[Codigo de Producto]],Productos[#All],2,FALSE))</f>
        <v>Martinez</v>
      </c>
      <c r="E966" s="57" t="str">
        <f>IF(Compras[[#This Row],[Codigo de Producto]]="","",+VLOOKUP(Compras[[#This Row],[Codigo de Producto]],Productos[#All],3,FALSE))</f>
        <v>Porcelana</v>
      </c>
      <c r="F966" t="s">
        <v>708</v>
      </c>
      <c r="G966" s="57" t="str">
        <f>IF(Compras[[#This Row],[Codigo de Producto]]="","",+VLOOKUP(Compras[[#This Row],[Codigo de Producto]],Productos[#All],4,FALSE))</f>
        <v xml:space="preserve">Porcelana Maya </v>
      </c>
      <c r="H966">
        <f>12*18</f>
        <v>216</v>
      </c>
      <c r="I966">
        <f>400/12</f>
        <v>33.333333333333336</v>
      </c>
      <c r="J966" s="57">
        <f>+Compras[[#This Row],[Cantidad]]*Compras[[#This Row],[Precio]]</f>
        <v>7200.0000000000009</v>
      </c>
      <c r="K966">
        <v>60</v>
      </c>
      <c r="L966" s="5">
        <f t="shared" si="64"/>
        <v>12960</v>
      </c>
      <c r="M966" s="5">
        <f t="shared" si="65"/>
        <v>5759.9999999999991</v>
      </c>
    </row>
    <row r="967" spans="2:13" hidden="1" x14ac:dyDescent="0.25">
      <c r="B967" s="1">
        <v>44163</v>
      </c>
      <c r="C967" s="57" t="str">
        <f>IF(Compras[[#This Row],[Fecha ]]="","",+TEXT(B967,"mmmm"))</f>
        <v>noviembre</v>
      </c>
      <c r="D967" s="57" t="str">
        <f>IF(Compras[[#This Row],[Codigo de Producto]]="","",+VLOOKUP(Compras[[#This Row],[Codigo de Producto]],Productos[#All],2,FALSE))</f>
        <v>Halcón</v>
      </c>
      <c r="E967" s="57" t="str">
        <f>IF(Compras[[#This Row],[Codigo de Producto]]="","",+VLOOKUP(Compras[[#This Row],[Codigo de Producto]],Productos[#All],3,FALSE))</f>
        <v>Cerámica</v>
      </c>
      <c r="F967" t="s">
        <v>871</v>
      </c>
      <c r="G967" s="57" t="str">
        <f>IF(Compras[[#This Row],[Codigo de Producto]]="","",+VLOOKUP(Compras[[#This Row],[Codigo de Producto]],Productos[#All],4,FALSE))</f>
        <v>Piso Incenor Plain White 58x58</v>
      </c>
      <c r="H967">
        <v>201</v>
      </c>
      <c r="I967">
        <v>225</v>
      </c>
      <c r="J967" s="57">
        <f>+Compras[[#This Row],[Cantidad]]*Compras[[#This Row],[Precio]]</f>
        <v>45225</v>
      </c>
      <c r="K967">
        <v>255</v>
      </c>
      <c r="L967" s="5">
        <f t="shared" si="64"/>
        <v>51255</v>
      </c>
      <c r="M967" s="5">
        <f t="shared" si="65"/>
        <v>6030</v>
      </c>
    </row>
    <row r="968" spans="2:13" x14ac:dyDescent="0.25">
      <c r="B968" s="1">
        <v>44163</v>
      </c>
      <c r="C968" s="57" t="str">
        <f>IF(Compras[[#This Row],[Fecha ]]="","",+TEXT(B968,"mmmm"))</f>
        <v>noviembre</v>
      </c>
      <c r="D968" s="57" t="str">
        <f>IF(Compras[[#This Row],[Codigo de Producto]]="","",+VLOOKUP(Compras[[#This Row],[Codigo de Producto]],Productos[#All],2,FALSE))</f>
        <v>Comasa</v>
      </c>
      <c r="E968" s="57" t="str">
        <f>IF(Compras[[#This Row],[Codigo de Producto]]="","",+VLOOKUP(Compras[[#This Row],[Codigo de Producto]],Productos[#All],3,FALSE))</f>
        <v>Cerámica</v>
      </c>
      <c r="F968" t="s">
        <v>890</v>
      </c>
      <c r="G968" s="57" t="str">
        <f>IF(Compras[[#This Row],[Codigo de Producto]]="","",+VLOOKUP(Compras[[#This Row],[Codigo de Producto]],Productos[#All],4,FALSE))</f>
        <v>Calzada Gris</v>
      </c>
      <c r="H968">
        <v>50</v>
      </c>
      <c r="I968">
        <v>232.64</v>
      </c>
      <c r="J968" s="57">
        <f>+Compras[[#This Row],[Cantidad]]*Compras[[#This Row],[Precio]]</f>
        <v>11632</v>
      </c>
      <c r="K968">
        <v>250</v>
      </c>
      <c r="L968" s="5">
        <f t="shared" si="64"/>
        <v>12500</v>
      </c>
      <c r="M968" s="5">
        <f t="shared" si="65"/>
        <v>868</v>
      </c>
    </row>
    <row r="969" spans="2:13" x14ac:dyDescent="0.25">
      <c r="B969" s="1">
        <v>44163</v>
      </c>
      <c r="C969" s="57" t="str">
        <f>IF(Compras[[#This Row],[Fecha ]]="","",+TEXT(B969,"mmmm"))</f>
        <v>noviembre</v>
      </c>
      <c r="D969" s="57" t="str">
        <f>IF(Compras[[#This Row],[Codigo de Producto]]="","",+VLOOKUP(Compras[[#This Row],[Codigo de Producto]],Productos[#All],2,FALSE))</f>
        <v>Comasa</v>
      </c>
      <c r="E969" s="57" t="str">
        <f>IF(Compras[[#This Row],[Codigo de Producto]]="","",+VLOOKUP(Compras[[#This Row],[Codigo de Producto]],Productos[#All],3,FALSE))</f>
        <v>Lavamano</v>
      </c>
      <c r="F969" t="s">
        <v>891</v>
      </c>
      <c r="G969" s="57" t="str">
        <f>IF(Compras[[#This Row],[Codigo de Producto]]="","",+VLOOKUP(Compras[[#This Row],[Codigo de Producto]],Productos[#All],4,FALSE))</f>
        <v>Lavamano Blanco Jazmin/ Pedestal Cato</v>
      </c>
      <c r="H969">
        <v>3</v>
      </c>
      <c r="I969">
        <v>1275</v>
      </c>
      <c r="J969" s="57">
        <f>+Compras[[#This Row],[Cantidad]]*Compras[[#This Row],[Precio]]</f>
        <v>3825</v>
      </c>
      <c r="K969">
        <v>1950</v>
      </c>
      <c r="L969" s="5">
        <f t="shared" si="64"/>
        <v>5850</v>
      </c>
      <c r="M969" s="5">
        <f t="shared" si="65"/>
        <v>2025</v>
      </c>
    </row>
    <row r="970" spans="2:13" x14ac:dyDescent="0.25">
      <c r="B970" s="1">
        <v>44163</v>
      </c>
      <c r="C970" s="57" t="str">
        <f>IF(Compras[[#This Row],[Fecha ]]="","",+TEXT(B970,"mmmm"))</f>
        <v>noviembre</v>
      </c>
      <c r="D970" s="57" t="str">
        <f>IF(Compras[[#This Row],[Codigo de Producto]]="","",+VLOOKUP(Compras[[#This Row],[Codigo de Producto]],Productos[#All],2,FALSE))</f>
        <v>Comasa</v>
      </c>
      <c r="E970" s="57" t="str">
        <f>IF(Compras[[#This Row],[Codigo de Producto]]="","",+VLOOKUP(Compras[[#This Row],[Codigo de Producto]],Productos[#All],3,FALSE))</f>
        <v>Bond</v>
      </c>
      <c r="F970" t="s">
        <v>704</v>
      </c>
      <c r="G970" s="57" t="str">
        <f>IF(Compras[[#This Row],[Codigo de Producto]]="","",+VLOOKUP(Compras[[#This Row],[Codigo de Producto]],Productos[#All],4,FALSE))</f>
        <v>Drytec Bond Plus</v>
      </c>
      <c r="H970">
        <v>100</v>
      </c>
      <c r="I970">
        <v>127.06</v>
      </c>
      <c r="J970" s="57">
        <f>+Compras[[#This Row],[Cantidad]]*Compras[[#This Row],[Precio]]</f>
        <v>12706</v>
      </c>
      <c r="K970">
        <v>155</v>
      </c>
      <c r="L970" s="5">
        <f t="shared" si="64"/>
        <v>15500</v>
      </c>
      <c r="M970" s="5">
        <f t="shared" si="65"/>
        <v>2794</v>
      </c>
    </row>
    <row r="971" spans="2:13" x14ac:dyDescent="0.25">
      <c r="B971" s="1">
        <v>44163</v>
      </c>
      <c r="C971" s="57" t="str">
        <f>IF(Compras[[#This Row],[Fecha ]]="","",+TEXT(B971,"mmmm"))</f>
        <v>noviembre</v>
      </c>
      <c r="D971" s="57" t="str">
        <f>IF(Compras[[#This Row],[Codigo de Producto]]="","",+VLOOKUP(Compras[[#This Row],[Codigo de Producto]],Productos[#All],2,FALSE))</f>
        <v>Comasa</v>
      </c>
      <c r="E971" s="57" t="str">
        <f>IF(Compras[[#This Row],[Codigo de Producto]]="","",+VLOOKUP(Compras[[#This Row],[Codigo de Producto]],Productos[#All],3,FALSE))</f>
        <v>Cerámica</v>
      </c>
      <c r="F971" t="s">
        <v>696</v>
      </c>
      <c r="G971" s="57" t="str">
        <f>IF(Compras[[#This Row],[Codigo de Producto]]="","",+VLOOKUP(Compras[[#This Row],[Codigo de Producto]],Productos[#All],4,FALSE))</f>
        <v>Madera Cedro</v>
      </c>
      <c r="H971">
        <v>42</v>
      </c>
      <c r="I971">
        <v>235</v>
      </c>
      <c r="J971" s="57">
        <f>+Compras[[#This Row],[Cantidad]]*Compras[[#This Row],[Precio]]</f>
        <v>9870</v>
      </c>
      <c r="K971">
        <v>280</v>
      </c>
      <c r="L971" s="5">
        <f t="shared" si="64"/>
        <v>11760</v>
      </c>
      <c r="M971" s="5">
        <f t="shared" si="65"/>
        <v>1890</v>
      </c>
    </row>
    <row r="972" spans="2:13" x14ac:dyDescent="0.25">
      <c r="B972" s="1">
        <v>44163</v>
      </c>
      <c r="C972" s="57" t="str">
        <f>IF(Compras[[#This Row],[Fecha ]]="","",+TEXT(B972,"mmmm"))</f>
        <v>noviembre</v>
      </c>
      <c r="D972" s="57" t="str">
        <f>IF(Compras[[#This Row],[Codigo de Producto]]="","",+VLOOKUP(Compras[[#This Row],[Codigo de Producto]],Productos[#All],2,FALSE))</f>
        <v>Comasa</v>
      </c>
      <c r="E972" s="57" t="str">
        <f>IF(Compras[[#This Row],[Codigo de Producto]]="","",+VLOOKUP(Compras[[#This Row],[Codigo de Producto]],Productos[#All],3,FALSE))</f>
        <v>Cerámica</v>
      </c>
      <c r="F972" t="s">
        <v>892</v>
      </c>
      <c r="G972" s="57" t="str">
        <f>IF(Compras[[#This Row],[Codigo de Producto]]="","",+VLOOKUP(Compras[[#This Row],[Codigo de Producto]],Productos[#All],4,FALSE))</f>
        <v>Babilonia Blanco</v>
      </c>
      <c r="H972">
        <v>100</v>
      </c>
      <c r="I972">
        <v>216.82</v>
      </c>
      <c r="J972" s="57">
        <f>+Compras[[#This Row],[Cantidad]]*Compras[[#This Row],[Precio]]</f>
        <v>21682</v>
      </c>
      <c r="K972">
        <v>240</v>
      </c>
      <c r="L972" s="5">
        <f t="shared" si="64"/>
        <v>24000</v>
      </c>
      <c r="M972" s="5">
        <f t="shared" si="65"/>
        <v>2318</v>
      </c>
    </row>
    <row r="973" spans="2:13" x14ac:dyDescent="0.25">
      <c r="B973" s="1">
        <v>44166</v>
      </c>
      <c r="C973" s="57" t="str">
        <f>IF(Compras[[#This Row],[Fecha ]]="","",+TEXT(B973,"mmmm"))</f>
        <v>diciembre</v>
      </c>
      <c r="D973" s="57" t="s">
        <v>163</v>
      </c>
      <c r="E973" s="57" t="str">
        <f>IF(Compras[[#This Row],[Codigo de Producto]]="","",+VLOOKUP(Compras[[#This Row],[Codigo de Producto]],Productos[#All],3,FALSE))</f>
        <v>Cerámica</v>
      </c>
      <c r="F973" t="s">
        <v>625</v>
      </c>
      <c r="G973" s="57" t="str">
        <f>IF(Compras[[#This Row],[Codigo de Producto]]="","",+VLOOKUP(Compras[[#This Row],[Codigo de Producto]],Productos[#All],4,FALSE))</f>
        <v>Florencia Beige</v>
      </c>
      <c r="H973">
        <v>44</v>
      </c>
      <c r="I973">
        <v>279</v>
      </c>
      <c r="J973" s="57">
        <f>+Compras[[#This Row],[Cantidad]]*Compras[[#This Row],[Precio]]</f>
        <v>12276</v>
      </c>
      <c r="K973">
        <v>300</v>
      </c>
      <c r="L973" s="5">
        <f t="shared" si="64"/>
        <v>13200</v>
      </c>
      <c r="M973" s="5">
        <f t="shared" si="65"/>
        <v>924</v>
      </c>
    </row>
    <row r="974" spans="2:13" hidden="1" x14ac:dyDescent="0.25">
      <c r="B974" s="1">
        <v>44166</v>
      </c>
      <c r="C974" s="57" t="str">
        <f>IF(Compras[[#This Row],[Fecha ]]="","",+TEXT(B974,"mmmm"))</f>
        <v>diciembre</v>
      </c>
      <c r="D974" s="57" t="str">
        <f>IF(Compras[[#This Row],[Codigo de Producto]]="","",+VLOOKUP(Compras[[#This Row],[Codigo de Producto]],Productos[#All],2,FALSE))</f>
        <v>Dispiasa</v>
      </c>
      <c r="E974" s="57" t="str">
        <f>IF(Compras[[#This Row],[Codigo de Producto]]="","",+VLOOKUP(Compras[[#This Row],[Codigo de Producto]],Productos[#All],3,FALSE))</f>
        <v>Cerámica</v>
      </c>
      <c r="F974" t="s">
        <v>646</v>
      </c>
      <c r="G974" s="57" t="str">
        <f>IF(Compras[[#This Row],[Codigo de Producto]]="","",+VLOOKUP(Compras[[#This Row],[Codigo de Producto]],Productos[#All],4,FALSE))</f>
        <v>Zacatepec Marrón</v>
      </c>
      <c r="H974">
        <v>20</v>
      </c>
      <c r="I974">
        <v>219</v>
      </c>
      <c r="J974" s="57">
        <f>+Compras[[#This Row],[Cantidad]]*Compras[[#This Row],[Precio]]</f>
        <v>4380</v>
      </c>
      <c r="K974">
        <v>250</v>
      </c>
      <c r="L974" s="5">
        <f t="shared" si="64"/>
        <v>5000</v>
      </c>
      <c r="M974" s="5">
        <f t="shared" si="65"/>
        <v>620</v>
      </c>
    </row>
    <row r="975" spans="2:13" hidden="1" x14ac:dyDescent="0.25">
      <c r="B975" s="1">
        <v>44166</v>
      </c>
      <c r="C975" s="57" t="str">
        <f>IF(Compras[[#This Row],[Fecha ]]="","",+TEXT(B975,"mmmm"))</f>
        <v>diciembre</v>
      </c>
      <c r="D975" s="57" t="str">
        <f>IF(Compras[[#This Row],[Codigo de Producto]]="","",+VLOOKUP(Compras[[#This Row],[Codigo de Producto]],Productos[#All],2,FALSE))</f>
        <v>Dispiasa</v>
      </c>
      <c r="E975" s="57" t="str">
        <f>IF(Compras[[#This Row],[Codigo de Producto]]="","",+VLOOKUP(Compras[[#This Row],[Codigo de Producto]],Productos[#All],3,FALSE))</f>
        <v>Cerámica</v>
      </c>
      <c r="F975" t="s">
        <v>893</v>
      </c>
      <c r="G975" s="57" t="str">
        <f>IF(Compras[[#This Row],[Codigo de Producto]]="","",+VLOOKUP(Compras[[#This Row],[Codigo de Producto]],Productos[#All],4,FALSE))</f>
        <v>Belén Marrón</v>
      </c>
      <c r="H975">
        <v>40</v>
      </c>
      <c r="I975">
        <v>268</v>
      </c>
      <c r="J975" s="57">
        <f>+Compras[[#This Row],[Cantidad]]*Compras[[#This Row],[Precio]]</f>
        <v>10720</v>
      </c>
      <c r="K975">
        <v>300</v>
      </c>
      <c r="L975" s="5">
        <f t="shared" si="64"/>
        <v>12000</v>
      </c>
      <c r="M975" s="5">
        <f t="shared" si="65"/>
        <v>1280</v>
      </c>
    </row>
    <row r="976" spans="2:13" hidden="1" x14ac:dyDescent="0.25">
      <c r="B976" s="1">
        <v>44166</v>
      </c>
      <c r="C976" s="57" t="str">
        <f>IF(Compras[[#This Row],[Fecha ]]="","",+TEXT(B976,"mmmm"))</f>
        <v>diciembre</v>
      </c>
      <c r="D976" s="57" t="str">
        <f>IF(Compras[[#This Row],[Codigo de Producto]]="","",+VLOOKUP(Compras[[#This Row],[Codigo de Producto]],Productos[#All],2,FALSE))</f>
        <v>Dispiasa</v>
      </c>
      <c r="E976" s="57" t="str">
        <f>IF(Compras[[#This Row],[Codigo de Producto]]="","",+VLOOKUP(Compras[[#This Row],[Codigo de Producto]],Productos[#All],3,FALSE))</f>
        <v>Azulejos</v>
      </c>
      <c r="F976" t="s">
        <v>899</v>
      </c>
      <c r="G976" s="57" t="str">
        <f>IF(Compras[[#This Row],[Codigo de Producto]]="","",+VLOOKUP(Compras[[#This Row],[Codigo de Producto]],Productos[#All],4,FALSE))</f>
        <v>722 Azul liso</v>
      </c>
      <c r="H976">
        <v>50</v>
      </c>
      <c r="I976">
        <v>207</v>
      </c>
      <c r="J976" s="57">
        <f>+Compras[[#This Row],[Cantidad]]*Compras[[#This Row],[Precio]]</f>
        <v>10350</v>
      </c>
      <c r="K976">
        <v>270</v>
      </c>
      <c r="L976" s="5">
        <f t="shared" si="64"/>
        <v>13500</v>
      </c>
      <c r="M976" s="5">
        <f t="shared" si="65"/>
        <v>3150</v>
      </c>
    </row>
    <row r="977" spans="2:13" hidden="1" x14ac:dyDescent="0.25">
      <c r="B977" s="1">
        <v>44166</v>
      </c>
      <c r="C977" s="57" t="str">
        <f>IF(Compras[[#This Row],[Fecha ]]="","",+TEXT(B977,"mmmm"))</f>
        <v>diciembre</v>
      </c>
      <c r="D977" s="57" t="str">
        <f>IF(Compras[[#This Row],[Codigo de Producto]]="","",+VLOOKUP(Compras[[#This Row],[Codigo de Producto]],Productos[#All],2,FALSE))</f>
        <v>Dispiasa</v>
      </c>
      <c r="E977" s="57" t="str">
        <f>IF(Compras[[#This Row],[Codigo de Producto]]="","",+VLOOKUP(Compras[[#This Row],[Codigo de Producto]],Productos[#All],3,FALSE))</f>
        <v>Azulejos</v>
      </c>
      <c r="F977" t="s">
        <v>642</v>
      </c>
      <c r="G977" s="57" t="str">
        <f>IF(Compras[[#This Row],[Codigo de Producto]]="","",+VLOOKUP(Compras[[#This Row],[Codigo de Producto]],Productos[#All],4,FALSE))</f>
        <v>722 Marrón</v>
      </c>
      <c r="H977">
        <v>20</v>
      </c>
      <c r="I977">
        <v>207</v>
      </c>
      <c r="J977" s="57">
        <f>+Compras[[#This Row],[Cantidad]]*Compras[[#This Row],[Precio]]</f>
        <v>4140</v>
      </c>
      <c r="K977">
        <v>270</v>
      </c>
      <c r="L977" s="5">
        <f t="shared" si="64"/>
        <v>5400</v>
      </c>
      <c r="M977" s="5">
        <f t="shared" si="65"/>
        <v>1260</v>
      </c>
    </row>
    <row r="978" spans="2:13" hidden="1" x14ac:dyDescent="0.25">
      <c r="B978" s="1">
        <v>44166</v>
      </c>
      <c r="C978" s="57" t="str">
        <f>IF(Compras[[#This Row],[Fecha ]]="","",+TEXT(B978,"mmmm"))</f>
        <v>diciembre</v>
      </c>
      <c r="D978" s="57" t="str">
        <f>IF(Compras[[#This Row],[Codigo de Producto]]="","",+VLOOKUP(Compras[[#This Row],[Codigo de Producto]],Productos[#All],2,FALSE))</f>
        <v>Dispiasa</v>
      </c>
      <c r="E978" s="57" t="str">
        <f>IF(Compras[[#This Row],[Codigo de Producto]]="","",+VLOOKUP(Compras[[#This Row],[Codigo de Producto]],Productos[#All],3,FALSE))</f>
        <v>Fachaleta</v>
      </c>
      <c r="F978" t="s">
        <v>666</v>
      </c>
      <c r="G978" s="57" t="str">
        <f>IF(Compras[[#This Row],[Codigo de Producto]]="","",+VLOOKUP(Compras[[#This Row],[Codigo de Producto]],Productos[#All],4,FALSE))</f>
        <v>Alabastro Rodeno</v>
      </c>
      <c r="H978">
        <v>10.065</v>
      </c>
      <c r="I978">
        <v>332</v>
      </c>
      <c r="J978" s="57">
        <f>+Compras[[#This Row],[Cantidad]]*Compras[[#This Row],[Precio]]</f>
        <v>3341.58</v>
      </c>
      <c r="K978">
        <v>420</v>
      </c>
      <c r="L978" s="5">
        <f t="shared" si="64"/>
        <v>4227.3</v>
      </c>
      <c r="M978" s="5">
        <f t="shared" si="65"/>
        <v>885.72000000000025</v>
      </c>
    </row>
    <row r="979" spans="2:13" hidden="1" x14ac:dyDescent="0.25">
      <c r="B979" s="1">
        <v>44166</v>
      </c>
      <c r="C979" s="57" t="str">
        <f>IF(Compras[[#This Row],[Fecha ]]="","",+TEXT(B979,"mmmm"))</f>
        <v>diciembre</v>
      </c>
      <c r="D979" s="57" t="str">
        <f>IF(Compras[[#This Row],[Codigo de Producto]]="","",+VLOOKUP(Compras[[#This Row],[Codigo de Producto]],Productos[#All],2,FALSE))</f>
        <v>Dispiasa</v>
      </c>
      <c r="E979" s="57" t="str">
        <f>IF(Compras[[#This Row],[Codigo de Producto]]="","",+VLOOKUP(Compras[[#This Row],[Codigo de Producto]],Productos[#All],3,FALSE))</f>
        <v>Cerámica</v>
      </c>
      <c r="F979" t="s">
        <v>901</v>
      </c>
      <c r="G979" s="57" t="str">
        <f>IF(Compras[[#This Row],[Codigo de Producto]]="","",+VLOOKUP(Compras[[#This Row],[Codigo de Producto]],Productos[#All],4,FALSE))</f>
        <v>722 Azul</v>
      </c>
      <c r="H979">
        <v>100</v>
      </c>
      <c r="I979">
        <v>207</v>
      </c>
      <c r="J979" s="57">
        <f>+Compras[[#This Row],[Cantidad]]*Compras[[#This Row],[Precio]]</f>
        <v>20700</v>
      </c>
      <c r="K979">
        <v>240</v>
      </c>
      <c r="L979" s="5">
        <f t="shared" si="64"/>
        <v>24000</v>
      </c>
      <c r="M979" s="5">
        <f t="shared" si="65"/>
        <v>3300</v>
      </c>
    </row>
    <row r="980" spans="2:13" hidden="1" x14ac:dyDescent="0.25">
      <c r="B980" s="1">
        <v>44169</v>
      </c>
      <c r="C980" s="57" t="str">
        <f>IF(Compras[[#This Row],[Fecha ]]="","",+TEXT(B980,"mmmm"))</f>
        <v>diciembre</v>
      </c>
      <c r="D980" s="57" t="s">
        <v>13</v>
      </c>
      <c r="E980" s="57" t="str">
        <f>IF(Compras[[#This Row],[Codigo de Producto]]="","",+VLOOKUP(Compras[[#This Row],[Codigo de Producto]],Productos[#All],3,FALSE))</f>
        <v>Fachaleta</v>
      </c>
      <c r="F980" t="s">
        <v>846</v>
      </c>
      <c r="G980" s="57" t="str">
        <f>IF(Compras[[#This Row],[Codigo de Producto]]="","",+VLOOKUP(Compras[[#This Row],[Codigo de Producto]],Productos[#All],4,FALSE))</f>
        <v>Creta Marrón</v>
      </c>
      <c r="H980">
        <v>23.8</v>
      </c>
      <c r="I980">
        <v>335</v>
      </c>
      <c r="J980" s="57">
        <f>+Compras[[#This Row],[Cantidad]]*Compras[[#This Row],[Precio]]</f>
        <v>7973</v>
      </c>
      <c r="K980">
        <v>400</v>
      </c>
      <c r="L980" s="5">
        <f t="shared" ref="L980:L981" si="66">+H980*K980</f>
        <v>9520</v>
      </c>
      <c r="M980" s="5">
        <f t="shared" ref="M980:M981" si="67">+L980-J980</f>
        <v>1547</v>
      </c>
    </row>
    <row r="981" spans="2:13" hidden="1" x14ac:dyDescent="0.25">
      <c r="B981" s="1">
        <v>44169</v>
      </c>
      <c r="C981" s="57" t="str">
        <f>IF(Compras[[#This Row],[Fecha ]]="","",+TEXT(B981,"mmmm"))</f>
        <v>diciembre</v>
      </c>
      <c r="D981" s="57" t="str">
        <f>IF(Compras[[#This Row],[Codigo de Producto]]="","",+VLOOKUP(Compras[[#This Row],[Codigo de Producto]],Productos[#All],2,FALSE))</f>
        <v>Boniche</v>
      </c>
      <c r="E981" s="57" t="str">
        <f>IF(Compras[[#This Row],[Codigo de Producto]]="","",+VLOOKUP(Compras[[#This Row],[Codigo de Producto]],Productos[#All],3,FALSE))</f>
        <v>Pantry</v>
      </c>
      <c r="F981" t="s">
        <v>898</v>
      </c>
      <c r="G981" s="57" t="str">
        <f>IF(Compras[[#This Row],[Codigo de Producto]]="","",+VLOOKUP(Compras[[#This Row],[Codigo de Producto]],Productos[#All],4,FALSE))</f>
        <v>Pana de Pantry doble tazón</v>
      </c>
      <c r="H981">
        <v>1</v>
      </c>
      <c r="I981">
        <v>1100</v>
      </c>
      <c r="J981" s="57">
        <f>+Compras[[#This Row],[Cantidad]]*Compras[[#This Row],[Precio]]</f>
        <v>1100</v>
      </c>
      <c r="K981">
        <v>1500</v>
      </c>
      <c r="L981" s="5">
        <f t="shared" si="66"/>
        <v>1500</v>
      </c>
      <c r="M981" s="5">
        <f t="shared" si="67"/>
        <v>400</v>
      </c>
    </row>
    <row r="982" spans="2:13" x14ac:dyDescent="0.25">
      <c r="B982" s="1">
        <v>44169</v>
      </c>
      <c r="C982" s="57" t="str">
        <f>IF(Compras[[#This Row],[Fecha ]]="","",+TEXT(B982,"mmmm"))</f>
        <v>diciembre</v>
      </c>
      <c r="D982" s="57" t="str">
        <f>IF(Compras[[#This Row],[Codigo de Producto]]="","",+VLOOKUP(Compras[[#This Row],[Codigo de Producto]],Productos[#All],2,FALSE))</f>
        <v>Comasa</v>
      </c>
      <c r="E982" s="57" t="str">
        <f>IF(Compras[[#This Row],[Codigo de Producto]]="","",+VLOOKUP(Compras[[#This Row],[Codigo de Producto]],Productos[#All],3,FALSE))</f>
        <v>Bond</v>
      </c>
      <c r="F982" t="s">
        <v>704</v>
      </c>
      <c r="G982" s="57" t="str">
        <f>IF(Compras[[#This Row],[Codigo de Producto]]="","",+VLOOKUP(Compras[[#This Row],[Codigo de Producto]],Productos[#All],4,FALSE))</f>
        <v>Drytec Bond Plus</v>
      </c>
      <c r="H982">
        <v>70</v>
      </c>
      <c r="I982">
        <v>128</v>
      </c>
      <c r="J982" s="57">
        <f>+Compras[[#This Row],[Cantidad]]*Compras[[#This Row],[Precio]]</f>
        <v>8960</v>
      </c>
      <c r="K982">
        <v>155</v>
      </c>
      <c r="L982" s="5">
        <f>+H982*K982</f>
        <v>10850</v>
      </c>
      <c r="M982" s="5">
        <f>+L982-J982</f>
        <v>1890</v>
      </c>
    </row>
    <row r="983" spans="2:13" x14ac:dyDescent="0.25">
      <c r="B983" s="1">
        <v>44169</v>
      </c>
      <c r="C983" s="57" t="str">
        <f>IF(Compras[[#This Row],[Fecha ]]="","",+TEXT(B983,"mmmm"))</f>
        <v>diciembre</v>
      </c>
      <c r="D983" s="57" t="str">
        <f>IF(Compras[[#This Row],[Codigo de Producto]]="","",+VLOOKUP(Compras[[#This Row],[Codigo de Producto]],Productos[#All],2,FALSE))</f>
        <v>Comasa</v>
      </c>
      <c r="E983" s="57" t="str">
        <f>IF(Compras[[#This Row],[Codigo de Producto]]="","",+VLOOKUP(Compras[[#This Row],[Codigo de Producto]],Productos[#All],3,FALSE))</f>
        <v>Cerámica</v>
      </c>
      <c r="F983" t="s">
        <v>905</v>
      </c>
      <c r="G983" s="57" t="str">
        <f>IF(Compras[[#This Row],[Codigo de Producto]]="","",+VLOOKUP(Compras[[#This Row],[Codigo de Producto]],Productos[#All],4,FALSE))</f>
        <v>Carrara Blanco</v>
      </c>
      <c r="H983">
        <v>200</v>
      </c>
      <c r="I983">
        <v>237</v>
      </c>
      <c r="J983" s="57">
        <f>+Compras[[#This Row],[Cantidad]]*Compras[[#This Row],[Precio]]</f>
        <v>47400</v>
      </c>
      <c r="K983">
        <v>270</v>
      </c>
      <c r="L983" s="5">
        <f>+H983*K983</f>
        <v>54000</v>
      </c>
      <c r="M983" s="5">
        <f>+L983-J983</f>
        <v>6600</v>
      </c>
    </row>
  </sheetData>
  <autoFilter ref="A1:O896">
    <filterColumn colId="3">
      <filters>
        <filter val="Comasa"/>
      </filters>
    </filterColumn>
    <filterColumn colId="4">
      <filters>
        <filter val="Ceramica"/>
      </filters>
    </filterColumn>
  </autoFilter>
  <sortState ref="A415:M612">
    <sortCondition ref="B415:B612"/>
  </sortState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85"/>
  <sheetViews>
    <sheetView zoomScale="85" zoomScaleNormal="85" workbookViewId="0">
      <pane ySplit="1" topLeftCell="A3839" activePane="bottomLeft" state="frozen"/>
      <selection pane="bottomLeft" activeCell="D4387" sqref="D4387"/>
    </sheetView>
  </sheetViews>
  <sheetFormatPr baseColWidth="10" defaultRowHeight="15" x14ac:dyDescent="0.25"/>
  <cols>
    <col min="4" max="4" width="12.7109375" bestFit="1" customWidth="1"/>
    <col min="5" max="5" width="19" customWidth="1"/>
    <col min="6" max="6" width="38" customWidth="1"/>
    <col min="9" max="9" width="11.85546875" bestFit="1" customWidth="1"/>
    <col min="10" max="10" width="13.5703125" customWidth="1"/>
    <col min="11" max="11" width="19" bestFit="1" customWidth="1"/>
    <col min="12" max="12" width="10" bestFit="1" customWidth="1"/>
    <col min="13" max="13" width="16.85546875" customWidth="1"/>
  </cols>
  <sheetData>
    <row r="1" spans="1:14" x14ac:dyDescent="0.25">
      <c r="A1" s="53" t="s">
        <v>0</v>
      </c>
      <c r="B1" s="53" t="s">
        <v>1</v>
      </c>
      <c r="C1" s="53" t="s">
        <v>7</v>
      </c>
      <c r="D1" s="53" t="s">
        <v>12</v>
      </c>
      <c r="E1" s="53" t="s">
        <v>608</v>
      </c>
      <c r="F1" s="53" t="s">
        <v>2</v>
      </c>
      <c r="G1" s="53" t="s">
        <v>3</v>
      </c>
      <c r="H1" s="53" t="s">
        <v>4</v>
      </c>
      <c r="I1" s="53" t="s">
        <v>5</v>
      </c>
      <c r="J1" s="54" t="s">
        <v>6</v>
      </c>
      <c r="K1" s="54" t="s">
        <v>36</v>
      </c>
      <c r="L1" s="54" t="s">
        <v>49</v>
      </c>
      <c r="M1" s="53" t="s">
        <v>37</v>
      </c>
      <c r="N1" s="53" t="s">
        <v>11</v>
      </c>
    </row>
    <row r="2" spans="1:14" ht="15" customHeight="1" x14ac:dyDescent="0.25">
      <c r="A2">
        <v>1</v>
      </c>
      <c r="B2" s="1">
        <v>43832</v>
      </c>
      <c r="C2" t="s">
        <v>8</v>
      </c>
      <c r="D2" t="s">
        <v>15</v>
      </c>
      <c r="F2" t="s">
        <v>31</v>
      </c>
      <c r="G2">
        <v>1.53</v>
      </c>
      <c r="H2">
        <v>280</v>
      </c>
      <c r="I2">
        <f>+G2*H2</f>
        <v>428.40000000000003</v>
      </c>
      <c r="J2" t="s">
        <v>163</v>
      </c>
      <c r="K2">
        <v>214</v>
      </c>
      <c r="M2">
        <f>+K2*G2</f>
        <v>327.42</v>
      </c>
      <c r="N2">
        <f t="shared" ref="N2:N15" si="0">+I2-M2</f>
        <v>100.98000000000002</v>
      </c>
    </row>
    <row r="3" spans="1:14" ht="15" customHeight="1" x14ac:dyDescent="0.25">
      <c r="A3">
        <v>2</v>
      </c>
      <c r="B3" s="1">
        <v>43832</v>
      </c>
      <c r="C3" t="s">
        <v>8</v>
      </c>
      <c r="D3" t="s">
        <v>15</v>
      </c>
      <c r="F3" t="s">
        <v>29</v>
      </c>
      <c r="G3">
        <v>1</v>
      </c>
      <c r="H3">
        <v>230</v>
      </c>
      <c r="I3">
        <f t="shared" ref="I3:I66" si="1">+G3*H3</f>
        <v>230</v>
      </c>
      <c r="J3" t="s">
        <v>163</v>
      </c>
      <c r="K3">
        <v>196</v>
      </c>
      <c r="M3">
        <f>+K3*G3</f>
        <v>196</v>
      </c>
      <c r="N3">
        <f t="shared" si="0"/>
        <v>34</v>
      </c>
    </row>
    <row r="4" spans="1:14" ht="15" customHeight="1" x14ac:dyDescent="0.25">
      <c r="A4">
        <v>3</v>
      </c>
      <c r="B4" s="1">
        <v>43832</v>
      </c>
      <c r="C4" t="s">
        <v>8</v>
      </c>
      <c r="D4" t="s">
        <v>55</v>
      </c>
      <c r="F4" t="s">
        <v>22</v>
      </c>
      <c r="G4">
        <f>27/17</f>
        <v>1.588235294117647</v>
      </c>
      <c r="H4">
        <v>290</v>
      </c>
      <c r="I4">
        <f t="shared" si="1"/>
        <v>460.58823529411762</v>
      </c>
      <c r="J4" t="s">
        <v>13</v>
      </c>
      <c r="K4">
        <v>271</v>
      </c>
      <c r="M4">
        <f>+K4*G4</f>
        <v>430.41176470588232</v>
      </c>
      <c r="N4">
        <f t="shared" si="0"/>
        <v>30.176470588235304</v>
      </c>
    </row>
    <row r="5" spans="1:14" ht="15" customHeight="1" x14ac:dyDescent="0.25">
      <c r="A5">
        <v>4</v>
      </c>
      <c r="B5" s="1">
        <v>43832</v>
      </c>
      <c r="C5" t="s">
        <v>8</v>
      </c>
      <c r="D5" t="s">
        <v>56</v>
      </c>
      <c r="F5" t="s">
        <v>38</v>
      </c>
      <c r="G5">
        <v>1</v>
      </c>
      <c r="H5">
        <v>110</v>
      </c>
      <c r="I5">
        <f t="shared" si="1"/>
        <v>110</v>
      </c>
      <c r="J5" t="s">
        <v>164</v>
      </c>
      <c r="K5">
        <v>70</v>
      </c>
      <c r="M5">
        <f>+K5*G5</f>
        <v>70</v>
      </c>
      <c r="N5">
        <f t="shared" si="0"/>
        <v>40</v>
      </c>
    </row>
    <row r="6" spans="1:14" ht="15" customHeight="1" x14ac:dyDescent="0.25">
      <c r="A6">
        <v>5</v>
      </c>
      <c r="B6" s="1">
        <v>43832</v>
      </c>
      <c r="C6" t="s">
        <v>8</v>
      </c>
      <c r="D6" t="s">
        <v>25</v>
      </c>
      <c r="F6" t="s">
        <v>48</v>
      </c>
      <c r="G6">
        <v>1</v>
      </c>
      <c r="H6">
        <v>60</v>
      </c>
      <c r="I6">
        <f t="shared" si="1"/>
        <v>60</v>
      </c>
      <c r="J6" t="s">
        <v>165</v>
      </c>
      <c r="K6">
        <f>380/12</f>
        <v>31.666666666666668</v>
      </c>
      <c r="M6">
        <f t="shared" ref="M6" si="2">+K6*G6</f>
        <v>31.666666666666668</v>
      </c>
      <c r="N6">
        <f t="shared" si="0"/>
        <v>28.333333333333332</v>
      </c>
    </row>
    <row r="7" spans="1:14" ht="15" customHeight="1" x14ac:dyDescent="0.25">
      <c r="A7">
        <v>6</v>
      </c>
      <c r="B7" s="1">
        <v>43832</v>
      </c>
      <c r="C7" t="s">
        <v>8</v>
      </c>
      <c r="D7" t="s">
        <v>15</v>
      </c>
      <c r="F7" t="s">
        <v>50</v>
      </c>
      <c r="G7">
        <v>5</v>
      </c>
      <c r="H7">
        <v>290</v>
      </c>
      <c r="I7">
        <f t="shared" si="1"/>
        <v>1450</v>
      </c>
      <c r="J7" t="s">
        <v>13</v>
      </c>
      <c r="K7">
        <v>271</v>
      </c>
      <c r="M7">
        <f>+K7*G7</f>
        <v>1355</v>
      </c>
      <c r="N7">
        <f t="shared" si="0"/>
        <v>95</v>
      </c>
    </row>
    <row r="8" spans="1:14" ht="15" customHeight="1" x14ac:dyDescent="0.25">
      <c r="A8">
        <v>7</v>
      </c>
      <c r="B8" s="1">
        <v>43832</v>
      </c>
      <c r="C8" t="s">
        <v>8</v>
      </c>
      <c r="D8" t="s">
        <v>44</v>
      </c>
      <c r="F8" t="s">
        <v>51</v>
      </c>
      <c r="G8">
        <v>1</v>
      </c>
      <c r="H8">
        <v>35</v>
      </c>
      <c r="I8">
        <f t="shared" si="1"/>
        <v>35</v>
      </c>
      <c r="J8" t="s">
        <v>166</v>
      </c>
      <c r="K8">
        <v>20</v>
      </c>
      <c r="M8">
        <f>+K8*G8</f>
        <v>20</v>
      </c>
      <c r="N8">
        <f t="shared" si="0"/>
        <v>15</v>
      </c>
    </row>
    <row r="9" spans="1:14" ht="15" customHeight="1" x14ac:dyDescent="0.25">
      <c r="A9">
        <v>8</v>
      </c>
      <c r="B9" s="1">
        <v>43832</v>
      </c>
      <c r="C9" t="s">
        <v>8</v>
      </c>
      <c r="D9" t="s">
        <v>56</v>
      </c>
      <c r="F9" t="s">
        <v>267</v>
      </c>
      <c r="G9">
        <v>2</v>
      </c>
      <c r="H9">
        <v>180</v>
      </c>
      <c r="I9">
        <f t="shared" si="1"/>
        <v>360</v>
      </c>
      <c r="J9" t="s">
        <v>163</v>
      </c>
      <c r="K9">
        <v>130</v>
      </c>
      <c r="M9">
        <f>+K9*G9</f>
        <v>260</v>
      </c>
      <c r="N9">
        <f t="shared" si="0"/>
        <v>100</v>
      </c>
    </row>
    <row r="10" spans="1:14" ht="15" customHeight="1" x14ac:dyDescent="0.25">
      <c r="A10">
        <v>9</v>
      </c>
      <c r="B10" s="1">
        <v>43832</v>
      </c>
      <c r="C10" t="s">
        <v>8</v>
      </c>
      <c r="D10" t="s">
        <v>25</v>
      </c>
      <c r="F10" t="s">
        <v>40</v>
      </c>
      <c r="G10">
        <v>1</v>
      </c>
      <c r="H10">
        <v>60</v>
      </c>
      <c r="I10">
        <f t="shared" si="1"/>
        <v>60</v>
      </c>
      <c r="J10" t="s">
        <v>165</v>
      </c>
      <c r="K10">
        <f>380/12</f>
        <v>31.666666666666668</v>
      </c>
      <c r="M10">
        <f t="shared" ref="M10" si="3">+K10*G10</f>
        <v>31.666666666666668</v>
      </c>
      <c r="N10">
        <f t="shared" si="0"/>
        <v>28.333333333333332</v>
      </c>
    </row>
    <row r="11" spans="1:14" ht="15" customHeight="1" x14ac:dyDescent="0.25">
      <c r="A11">
        <v>10</v>
      </c>
      <c r="B11" s="1">
        <v>43832</v>
      </c>
      <c r="C11" t="s">
        <v>8</v>
      </c>
      <c r="D11" t="s">
        <v>15</v>
      </c>
      <c r="F11" t="s">
        <v>52</v>
      </c>
      <c r="G11">
        <v>31.5</v>
      </c>
      <c r="H11">
        <v>240</v>
      </c>
      <c r="I11">
        <f t="shared" si="1"/>
        <v>7560</v>
      </c>
      <c r="J11" t="s">
        <v>163</v>
      </c>
      <c r="K11">
        <v>200</v>
      </c>
      <c r="M11">
        <f>+K11*G11</f>
        <v>6300</v>
      </c>
      <c r="N11">
        <f t="shared" si="0"/>
        <v>1260</v>
      </c>
    </row>
    <row r="12" spans="1:14" ht="15" customHeight="1" x14ac:dyDescent="0.25">
      <c r="A12">
        <v>11</v>
      </c>
      <c r="B12" s="1">
        <v>43832</v>
      </c>
      <c r="C12" t="s">
        <v>8</v>
      </c>
      <c r="D12" t="s">
        <v>44</v>
      </c>
      <c r="F12" t="s">
        <v>51</v>
      </c>
      <c r="G12">
        <v>1</v>
      </c>
      <c r="H12">
        <v>35</v>
      </c>
      <c r="I12">
        <f t="shared" si="1"/>
        <v>35</v>
      </c>
      <c r="J12" t="s">
        <v>166</v>
      </c>
      <c r="K12">
        <v>20</v>
      </c>
      <c r="M12">
        <f>+K12*G12</f>
        <v>20</v>
      </c>
      <c r="N12">
        <f t="shared" si="0"/>
        <v>15</v>
      </c>
    </row>
    <row r="13" spans="1:14" ht="15" customHeight="1" x14ac:dyDescent="0.25">
      <c r="A13">
        <v>12</v>
      </c>
      <c r="B13" s="1">
        <v>43832</v>
      </c>
      <c r="C13" t="s">
        <v>8</v>
      </c>
      <c r="D13" t="s">
        <v>55</v>
      </c>
      <c r="F13" t="s">
        <v>149</v>
      </c>
      <c r="G13">
        <v>1</v>
      </c>
      <c r="H13">
        <v>290</v>
      </c>
      <c r="I13">
        <f t="shared" si="1"/>
        <v>290</v>
      </c>
      <c r="J13" t="s">
        <v>13</v>
      </c>
      <c r="K13">
        <v>271</v>
      </c>
      <c r="M13">
        <f>+K13*G13</f>
        <v>271</v>
      </c>
      <c r="N13">
        <f t="shared" si="0"/>
        <v>19</v>
      </c>
    </row>
    <row r="14" spans="1:14" ht="15" customHeight="1" x14ac:dyDescent="0.25">
      <c r="A14">
        <v>13</v>
      </c>
      <c r="B14" s="1">
        <v>43832</v>
      </c>
      <c r="C14" t="s">
        <v>8</v>
      </c>
      <c r="D14" t="s">
        <v>25</v>
      </c>
      <c r="F14" t="s">
        <v>53</v>
      </c>
      <c r="G14">
        <v>2</v>
      </c>
      <c r="H14">
        <v>60</v>
      </c>
      <c r="I14">
        <f t="shared" si="1"/>
        <v>120</v>
      </c>
      <c r="J14" t="s">
        <v>165</v>
      </c>
      <c r="K14">
        <f>380/12</f>
        <v>31.666666666666668</v>
      </c>
      <c r="M14">
        <f t="shared" ref="M14" si="4">+K14*G14</f>
        <v>63.333333333333336</v>
      </c>
      <c r="N14">
        <f t="shared" si="0"/>
        <v>56.666666666666664</v>
      </c>
    </row>
    <row r="15" spans="1:14" ht="15" customHeight="1" x14ac:dyDescent="0.25">
      <c r="A15">
        <v>14</v>
      </c>
      <c r="B15" s="1">
        <v>43832</v>
      </c>
      <c r="C15" t="s">
        <v>8</v>
      </c>
      <c r="D15" t="s">
        <v>15</v>
      </c>
      <c r="F15" t="s">
        <v>19</v>
      </c>
      <c r="G15">
        <v>6</v>
      </c>
      <c r="H15">
        <v>290</v>
      </c>
      <c r="I15">
        <f t="shared" si="1"/>
        <v>1740</v>
      </c>
      <c r="J15" t="s">
        <v>13</v>
      </c>
      <c r="K15">
        <v>271</v>
      </c>
      <c r="M15">
        <f>+K15*G15</f>
        <v>1626</v>
      </c>
      <c r="N15">
        <f t="shared" si="0"/>
        <v>114</v>
      </c>
    </row>
    <row r="16" spans="1:14" ht="15" customHeight="1" x14ac:dyDescent="0.25">
      <c r="A16">
        <v>15</v>
      </c>
      <c r="B16" s="1">
        <v>43832</v>
      </c>
      <c r="C16" t="s">
        <v>8</v>
      </c>
      <c r="D16" t="s">
        <v>56</v>
      </c>
      <c r="F16" t="s">
        <v>267</v>
      </c>
      <c r="G16">
        <v>3</v>
      </c>
      <c r="H16">
        <v>180</v>
      </c>
      <c r="I16">
        <f t="shared" si="1"/>
        <v>540</v>
      </c>
      <c r="J16" t="s">
        <v>163</v>
      </c>
      <c r="K16">
        <v>130</v>
      </c>
      <c r="M16">
        <f t="shared" ref="M16:M19" si="5">+K16*G16</f>
        <v>390</v>
      </c>
      <c r="N16">
        <f t="shared" ref="N16:N19" si="6">+I16-M16</f>
        <v>150</v>
      </c>
    </row>
    <row r="17" spans="1:14" ht="15" customHeight="1" x14ac:dyDescent="0.25">
      <c r="A17">
        <v>16</v>
      </c>
      <c r="B17" s="1">
        <v>43832</v>
      </c>
      <c r="C17" t="s">
        <v>8</v>
      </c>
      <c r="D17" t="s">
        <v>15</v>
      </c>
      <c r="F17" t="s">
        <v>20</v>
      </c>
      <c r="G17">
        <v>184</v>
      </c>
      <c r="H17">
        <v>235</v>
      </c>
      <c r="I17">
        <f t="shared" si="1"/>
        <v>43240</v>
      </c>
      <c r="J17" t="s">
        <v>163</v>
      </c>
      <c r="K17">
        <v>216</v>
      </c>
      <c r="M17">
        <f t="shared" si="5"/>
        <v>39744</v>
      </c>
      <c r="N17">
        <f t="shared" si="6"/>
        <v>3496</v>
      </c>
    </row>
    <row r="18" spans="1:14" ht="15" customHeight="1" x14ac:dyDescent="0.25">
      <c r="A18">
        <v>17</v>
      </c>
      <c r="B18" s="1">
        <v>43832</v>
      </c>
      <c r="C18" t="s">
        <v>8</v>
      </c>
      <c r="D18" t="s">
        <v>56</v>
      </c>
      <c r="F18" t="s">
        <v>267</v>
      </c>
      <c r="G18">
        <v>25</v>
      </c>
      <c r="H18">
        <v>180</v>
      </c>
      <c r="I18">
        <f t="shared" si="1"/>
        <v>4500</v>
      </c>
      <c r="J18" t="s">
        <v>163</v>
      </c>
      <c r="K18">
        <v>130</v>
      </c>
      <c r="M18">
        <f t="shared" si="5"/>
        <v>3250</v>
      </c>
      <c r="N18">
        <f t="shared" si="6"/>
        <v>1250</v>
      </c>
    </row>
    <row r="19" spans="1:14" ht="15" customHeight="1" x14ac:dyDescent="0.25">
      <c r="A19">
        <v>18</v>
      </c>
      <c r="B19" s="1">
        <v>43832</v>
      </c>
      <c r="C19" t="s">
        <v>8</v>
      </c>
      <c r="D19" t="s">
        <v>15</v>
      </c>
      <c r="F19" t="s">
        <v>31</v>
      </c>
      <c r="G19">
        <v>2</v>
      </c>
      <c r="H19">
        <v>280</v>
      </c>
      <c r="I19">
        <f t="shared" si="1"/>
        <v>560</v>
      </c>
      <c r="J19" t="s">
        <v>163</v>
      </c>
      <c r="K19">
        <v>214</v>
      </c>
      <c r="M19">
        <f t="shared" si="5"/>
        <v>428</v>
      </c>
      <c r="N19">
        <f t="shared" si="6"/>
        <v>132</v>
      </c>
    </row>
    <row r="20" spans="1:14" ht="15" customHeight="1" x14ac:dyDescent="0.25">
      <c r="A20">
        <v>19</v>
      </c>
      <c r="B20" s="1">
        <v>43832</v>
      </c>
      <c r="C20" t="s">
        <v>8</v>
      </c>
      <c r="D20" t="s">
        <v>55</v>
      </c>
      <c r="F20" t="s">
        <v>149</v>
      </c>
      <c r="G20">
        <v>10</v>
      </c>
      <c r="H20">
        <v>290</v>
      </c>
      <c r="I20">
        <f t="shared" si="1"/>
        <v>2900</v>
      </c>
      <c r="J20" t="s">
        <v>13</v>
      </c>
      <c r="K20">
        <v>271</v>
      </c>
      <c r="M20">
        <f t="shared" ref="M20:M23" si="7">+K20*G20</f>
        <v>2710</v>
      </c>
      <c r="N20">
        <f t="shared" ref="N20:N23" si="8">+I20-M20</f>
        <v>190</v>
      </c>
    </row>
    <row r="21" spans="1:14" ht="15" customHeight="1" x14ac:dyDescent="0.25">
      <c r="A21">
        <v>20</v>
      </c>
      <c r="B21" s="1">
        <v>43832</v>
      </c>
      <c r="C21" t="s">
        <v>8</v>
      </c>
      <c r="D21" t="s">
        <v>15</v>
      </c>
      <c r="F21" t="s">
        <v>50</v>
      </c>
      <c r="G21">
        <v>2</v>
      </c>
      <c r="H21">
        <v>290</v>
      </c>
      <c r="I21">
        <f t="shared" si="1"/>
        <v>580</v>
      </c>
      <c r="J21" t="s">
        <v>13</v>
      </c>
      <c r="K21">
        <v>271</v>
      </c>
      <c r="M21">
        <f t="shared" si="7"/>
        <v>542</v>
      </c>
      <c r="N21">
        <f t="shared" si="8"/>
        <v>38</v>
      </c>
    </row>
    <row r="22" spans="1:14" ht="15" customHeight="1" x14ac:dyDescent="0.25">
      <c r="A22">
        <v>21</v>
      </c>
      <c r="B22" s="1">
        <v>43832</v>
      </c>
      <c r="C22" t="s">
        <v>8</v>
      </c>
      <c r="D22" t="s">
        <v>15</v>
      </c>
      <c r="F22" t="s">
        <v>31</v>
      </c>
      <c r="G22">
        <v>3.5</v>
      </c>
      <c r="H22">
        <v>290</v>
      </c>
      <c r="I22">
        <f t="shared" si="1"/>
        <v>1015</v>
      </c>
      <c r="J22" t="s">
        <v>163</v>
      </c>
      <c r="K22">
        <v>214</v>
      </c>
      <c r="M22">
        <f t="shared" si="7"/>
        <v>749</v>
      </c>
      <c r="N22">
        <f t="shared" si="8"/>
        <v>266</v>
      </c>
    </row>
    <row r="23" spans="1:14" ht="15" customHeight="1" x14ac:dyDescent="0.25">
      <c r="A23">
        <v>22</v>
      </c>
      <c r="B23" s="1">
        <v>43832</v>
      </c>
      <c r="C23" t="s">
        <v>8</v>
      </c>
      <c r="D23" t="s">
        <v>15</v>
      </c>
      <c r="F23" t="s">
        <v>54</v>
      </c>
      <c r="G23">
        <v>2.12</v>
      </c>
      <c r="H23">
        <v>235</v>
      </c>
      <c r="I23">
        <f t="shared" si="1"/>
        <v>498.20000000000005</v>
      </c>
      <c r="J23" t="s">
        <v>163</v>
      </c>
      <c r="K23">
        <v>212</v>
      </c>
      <c r="M23">
        <f t="shared" si="7"/>
        <v>449.44</v>
      </c>
      <c r="N23">
        <f t="shared" si="8"/>
        <v>48.760000000000048</v>
      </c>
    </row>
    <row r="24" spans="1:14" ht="15" customHeight="1" x14ac:dyDescent="0.25">
      <c r="A24">
        <v>23</v>
      </c>
      <c r="B24" s="1">
        <v>43832</v>
      </c>
      <c r="C24" t="s">
        <v>8</v>
      </c>
      <c r="D24" t="s">
        <v>55</v>
      </c>
      <c r="F24" t="s">
        <v>149</v>
      </c>
      <c r="G24">
        <v>1</v>
      </c>
      <c r="H24">
        <v>290</v>
      </c>
      <c r="I24">
        <f t="shared" si="1"/>
        <v>290</v>
      </c>
      <c r="J24" t="s">
        <v>13</v>
      </c>
      <c r="K24">
        <v>271</v>
      </c>
      <c r="M24">
        <f>+K24*G24</f>
        <v>271</v>
      </c>
      <c r="N24">
        <f>+I24-M24</f>
        <v>19</v>
      </c>
    </row>
    <row r="25" spans="1:14" ht="15" customHeight="1" x14ac:dyDescent="0.25">
      <c r="A25">
        <v>24</v>
      </c>
      <c r="B25" s="1">
        <v>43833</v>
      </c>
      <c r="C25" t="s">
        <v>8</v>
      </c>
      <c r="D25" t="s">
        <v>15</v>
      </c>
      <c r="F25" t="s">
        <v>28</v>
      </c>
      <c r="G25">
        <v>2</v>
      </c>
      <c r="H25">
        <v>230</v>
      </c>
      <c r="I25">
        <f t="shared" si="1"/>
        <v>460</v>
      </c>
      <c r="J25" t="s">
        <v>163</v>
      </c>
      <c r="K25">
        <v>182</v>
      </c>
      <c r="M25">
        <f>+K25*G25</f>
        <v>364</v>
      </c>
      <c r="N25">
        <f>+I25-M25</f>
        <v>96</v>
      </c>
    </row>
    <row r="26" spans="1:14" ht="15" customHeight="1" x14ac:dyDescent="0.25">
      <c r="A26">
        <v>25</v>
      </c>
      <c r="B26" s="1">
        <v>43833</v>
      </c>
      <c r="C26" t="s">
        <v>8</v>
      </c>
      <c r="D26" t="s">
        <v>26</v>
      </c>
      <c r="F26" t="s">
        <v>47</v>
      </c>
      <c r="G26">
        <v>1.44</v>
      </c>
      <c r="H26">
        <v>380</v>
      </c>
      <c r="I26">
        <f t="shared" si="1"/>
        <v>547.19999999999993</v>
      </c>
      <c r="J26" t="s">
        <v>99</v>
      </c>
      <c r="K26">
        <v>330</v>
      </c>
      <c r="M26">
        <f>+K26*G26</f>
        <v>475.2</v>
      </c>
      <c r="N26">
        <f>+I26-M26</f>
        <v>71.999999999999943</v>
      </c>
    </row>
    <row r="27" spans="1:14" ht="15" customHeight="1" x14ac:dyDescent="0.25">
      <c r="A27">
        <v>26</v>
      </c>
      <c r="B27" s="1">
        <v>43833</v>
      </c>
      <c r="C27" t="s">
        <v>8</v>
      </c>
      <c r="D27" t="s">
        <v>15</v>
      </c>
      <c r="F27" t="s">
        <v>28</v>
      </c>
      <c r="G27">
        <f>5/9</f>
        <v>0.55555555555555558</v>
      </c>
      <c r="H27">
        <v>230</v>
      </c>
      <c r="I27">
        <f t="shared" si="1"/>
        <v>127.77777777777779</v>
      </c>
      <c r="J27" t="s">
        <v>163</v>
      </c>
      <c r="K27">
        <v>182</v>
      </c>
      <c r="M27">
        <f t="shared" ref="M27:M28" si="9">+K27*G27</f>
        <v>101.11111111111111</v>
      </c>
      <c r="N27">
        <f t="shared" ref="N27:N28" si="10">+I27-M27</f>
        <v>26.666666666666671</v>
      </c>
    </row>
    <row r="28" spans="1:14" ht="15" customHeight="1" x14ac:dyDescent="0.25">
      <c r="A28">
        <v>27</v>
      </c>
      <c r="B28" s="1">
        <v>43833</v>
      </c>
      <c r="C28" t="s">
        <v>8</v>
      </c>
      <c r="D28" t="s">
        <v>15</v>
      </c>
      <c r="F28" t="s">
        <v>59</v>
      </c>
      <c r="G28">
        <f>3/9</f>
        <v>0.33333333333333331</v>
      </c>
      <c r="H28">
        <v>230</v>
      </c>
      <c r="I28">
        <f t="shared" si="1"/>
        <v>76.666666666666657</v>
      </c>
      <c r="J28" t="s">
        <v>163</v>
      </c>
      <c r="K28">
        <f>169.41*1.15</f>
        <v>194.82149999999999</v>
      </c>
      <c r="M28">
        <f t="shared" si="9"/>
        <v>64.940499999999986</v>
      </c>
      <c r="N28">
        <f t="shared" si="10"/>
        <v>11.726166666666671</v>
      </c>
    </row>
    <row r="29" spans="1:14" ht="15" customHeight="1" x14ac:dyDescent="0.25">
      <c r="A29">
        <v>28</v>
      </c>
      <c r="B29" s="1">
        <v>43833</v>
      </c>
      <c r="C29" t="s">
        <v>8</v>
      </c>
      <c r="D29" t="s">
        <v>25</v>
      </c>
      <c r="F29" t="s">
        <v>147</v>
      </c>
      <c r="G29">
        <v>1</v>
      </c>
      <c r="H29">
        <v>60</v>
      </c>
      <c r="I29">
        <f t="shared" si="1"/>
        <v>60</v>
      </c>
      <c r="J29" t="s">
        <v>165</v>
      </c>
      <c r="K29">
        <f t="shared" ref="K29:K32" si="11">380/12</f>
        <v>31.666666666666668</v>
      </c>
      <c r="M29">
        <f t="shared" ref="M29:M32" si="12">+K29*G29</f>
        <v>31.666666666666668</v>
      </c>
      <c r="N29">
        <f>+I29-M29</f>
        <v>28.333333333333332</v>
      </c>
    </row>
    <row r="30" spans="1:14" ht="15" customHeight="1" x14ac:dyDescent="0.25">
      <c r="A30">
        <v>29</v>
      </c>
      <c r="B30" s="1">
        <v>43833</v>
      </c>
      <c r="C30" t="s">
        <v>8</v>
      </c>
      <c r="D30" t="s">
        <v>25</v>
      </c>
      <c r="F30" t="s">
        <v>60</v>
      </c>
      <c r="G30">
        <v>2</v>
      </c>
      <c r="H30">
        <v>60</v>
      </c>
      <c r="I30">
        <f t="shared" si="1"/>
        <v>120</v>
      </c>
      <c r="J30" t="s">
        <v>165</v>
      </c>
      <c r="K30">
        <f t="shared" si="11"/>
        <v>31.666666666666668</v>
      </c>
      <c r="M30">
        <f t="shared" si="12"/>
        <v>63.333333333333336</v>
      </c>
      <c r="N30">
        <f t="shared" ref="N30:N32" si="13">+I30-M30</f>
        <v>56.666666666666664</v>
      </c>
    </row>
    <row r="31" spans="1:14" ht="15" customHeight="1" x14ac:dyDescent="0.25">
      <c r="A31">
        <v>30</v>
      </c>
      <c r="B31" s="1">
        <v>43833</v>
      </c>
      <c r="C31" t="s">
        <v>8</v>
      </c>
      <c r="D31" t="s">
        <v>25</v>
      </c>
      <c r="F31" t="s">
        <v>57</v>
      </c>
      <c r="G31">
        <v>1.53</v>
      </c>
      <c r="H31">
        <v>60</v>
      </c>
      <c r="I31">
        <f t="shared" si="1"/>
        <v>91.8</v>
      </c>
      <c r="J31" t="s">
        <v>165</v>
      </c>
      <c r="K31">
        <f t="shared" si="11"/>
        <v>31.666666666666668</v>
      </c>
      <c r="M31">
        <f t="shared" si="12"/>
        <v>48.45</v>
      </c>
      <c r="N31">
        <f t="shared" si="13"/>
        <v>43.349999999999994</v>
      </c>
    </row>
    <row r="32" spans="1:14" ht="15" customHeight="1" x14ac:dyDescent="0.25">
      <c r="A32">
        <v>31</v>
      </c>
      <c r="B32" s="1">
        <v>43833</v>
      </c>
      <c r="C32" t="s">
        <v>8</v>
      </c>
      <c r="D32" t="s">
        <v>25</v>
      </c>
      <c r="F32" t="s">
        <v>61</v>
      </c>
      <c r="G32">
        <v>1</v>
      </c>
      <c r="H32">
        <v>60</v>
      </c>
      <c r="I32">
        <f t="shared" si="1"/>
        <v>60</v>
      </c>
      <c r="J32" t="s">
        <v>165</v>
      </c>
      <c r="K32">
        <f t="shared" si="11"/>
        <v>31.666666666666668</v>
      </c>
      <c r="M32">
        <f t="shared" si="12"/>
        <v>31.666666666666668</v>
      </c>
      <c r="N32">
        <f t="shared" si="13"/>
        <v>28.333333333333332</v>
      </c>
    </row>
    <row r="33" spans="1:14" ht="15" customHeight="1" x14ac:dyDescent="0.25">
      <c r="A33">
        <v>32</v>
      </c>
      <c r="B33" s="1">
        <v>43833</v>
      </c>
      <c r="C33" t="s">
        <v>8</v>
      </c>
      <c r="D33" t="s">
        <v>64</v>
      </c>
      <c r="F33" t="s">
        <v>62</v>
      </c>
      <c r="G33">
        <v>4</v>
      </c>
      <c r="H33">
        <v>430</v>
      </c>
      <c r="I33">
        <f t="shared" si="1"/>
        <v>1720</v>
      </c>
      <c r="J33" t="s">
        <v>13</v>
      </c>
      <c r="K33">
        <v>326</v>
      </c>
      <c r="M33">
        <f t="shared" ref="M33:M36" si="14">+K33*G33</f>
        <v>1304</v>
      </c>
      <c r="N33">
        <f t="shared" ref="N33:N36" si="15">+I33-M33</f>
        <v>416</v>
      </c>
    </row>
    <row r="34" spans="1:14" ht="15" customHeight="1" x14ac:dyDescent="0.25">
      <c r="A34">
        <v>33</v>
      </c>
      <c r="B34" s="1">
        <v>43833</v>
      </c>
      <c r="C34" t="s">
        <v>8</v>
      </c>
      <c r="D34" t="s">
        <v>15</v>
      </c>
      <c r="F34" t="s">
        <v>19</v>
      </c>
      <c r="G34">
        <v>2</v>
      </c>
      <c r="H34">
        <v>290</v>
      </c>
      <c r="I34">
        <f t="shared" si="1"/>
        <v>580</v>
      </c>
      <c r="J34" t="s">
        <v>13</v>
      </c>
      <c r="K34">
        <v>271</v>
      </c>
      <c r="M34">
        <f t="shared" si="14"/>
        <v>542</v>
      </c>
      <c r="N34">
        <f t="shared" si="15"/>
        <v>38</v>
      </c>
    </row>
    <row r="35" spans="1:14" ht="15" customHeight="1" x14ac:dyDescent="0.25">
      <c r="A35">
        <v>34</v>
      </c>
      <c r="B35" s="1">
        <v>43833</v>
      </c>
      <c r="C35" t="s">
        <v>8</v>
      </c>
      <c r="D35" t="s">
        <v>15</v>
      </c>
      <c r="F35" t="s">
        <v>63</v>
      </c>
      <c r="G35">
        <f>23/9</f>
        <v>2.5555555555555554</v>
      </c>
      <c r="H35">
        <v>240</v>
      </c>
      <c r="I35">
        <f t="shared" si="1"/>
        <v>613.33333333333326</v>
      </c>
      <c r="J35" t="s">
        <v>163</v>
      </c>
      <c r="K35">
        <v>204</v>
      </c>
      <c r="M35">
        <f t="shared" si="14"/>
        <v>521.33333333333326</v>
      </c>
      <c r="N35">
        <f t="shared" si="15"/>
        <v>92</v>
      </c>
    </row>
    <row r="36" spans="1:14" ht="15" customHeight="1" x14ac:dyDescent="0.25">
      <c r="A36">
        <v>35</v>
      </c>
      <c r="B36" s="1">
        <v>43833</v>
      </c>
      <c r="C36" t="s">
        <v>8</v>
      </c>
      <c r="D36" t="s">
        <v>56</v>
      </c>
      <c r="F36" t="s">
        <v>267</v>
      </c>
      <c r="G36">
        <v>1</v>
      </c>
      <c r="H36">
        <v>180</v>
      </c>
      <c r="I36">
        <f t="shared" si="1"/>
        <v>180</v>
      </c>
      <c r="J36" t="s">
        <v>163</v>
      </c>
      <c r="K36">
        <v>130</v>
      </c>
      <c r="M36">
        <f t="shared" si="14"/>
        <v>130</v>
      </c>
      <c r="N36">
        <f t="shared" si="15"/>
        <v>50</v>
      </c>
    </row>
    <row r="37" spans="1:14" ht="15" customHeight="1" x14ac:dyDescent="0.25">
      <c r="A37">
        <v>36</v>
      </c>
      <c r="B37" s="1">
        <v>43833</v>
      </c>
      <c r="C37" t="s">
        <v>8</v>
      </c>
      <c r="D37" t="s">
        <v>24</v>
      </c>
      <c r="F37" t="s">
        <v>24</v>
      </c>
      <c r="G37">
        <v>1</v>
      </c>
      <c r="H37">
        <v>100</v>
      </c>
      <c r="I37">
        <f t="shared" si="1"/>
        <v>100</v>
      </c>
      <c r="J37" t="s">
        <v>186</v>
      </c>
      <c r="K37">
        <v>85.42</v>
      </c>
      <c r="M37">
        <f t="shared" ref="M37:M45" si="16">+K37*G37</f>
        <v>85.42</v>
      </c>
      <c r="N37">
        <f t="shared" ref="N37:N45" si="17">+I37-M37</f>
        <v>14.579999999999998</v>
      </c>
    </row>
    <row r="38" spans="1:14" ht="15" customHeight="1" x14ac:dyDescent="0.25">
      <c r="A38">
        <v>37</v>
      </c>
      <c r="B38" s="1">
        <v>43834</v>
      </c>
      <c r="C38" t="s">
        <v>8</v>
      </c>
      <c r="D38" t="s">
        <v>56</v>
      </c>
      <c r="F38" t="s">
        <v>38</v>
      </c>
      <c r="G38">
        <v>6</v>
      </c>
      <c r="H38">
        <v>110</v>
      </c>
      <c r="I38">
        <f t="shared" si="1"/>
        <v>660</v>
      </c>
      <c r="J38" t="s">
        <v>164</v>
      </c>
      <c r="K38">
        <v>70</v>
      </c>
      <c r="M38">
        <f t="shared" si="16"/>
        <v>420</v>
      </c>
      <c r="N38">
        <f t="shared" si="17"/>
        <v>240</v>
      </c>
    </row>
    <row r="39" spans="1:14" ht="15" customHeight="1" x14ac:dyDescent="0.25">
      <c r="A39">
        <v>38</v>
      </c>
      <c r="B39" s="1">
        <v>43834</v>
      </c>
      <c r="C39" t="s">
        <v>8</v>
      </c>
      <c r="D39" t="s">
        <v>44</v>
      </c>
      <c r="F39" t="s">
        <v>44</v>
      </c>
      <c r="G39">
        <v>1</v>
      </c>
      <c r="H39">
        <v>35</v>
      </c>
      <c r="I39">
        <f t="shared" si="1"/>
        <v>35</v>
      </c>
      <c r="J39" t="s">
        <v>166</v>
      </c>
      <c r="K39">
        <v>20</v>
      </c>
      <c r="M39">
        <f t="shared" si="16"/>
        <v>20</v>
      </c>
      <c r="N39">
        <f t="shared" si="17"/>
        <v>15</v>
      </c>
    </row>
    <row r="40" spans="1:14" ht="15" customHeight="1" x14ac:dyDescent="0.25">
      <c r="A40">
        <v>39</v>
      </c>
      <c r="B40" s="1">
        <v>43834</v>
      </c>
      <c r="C40" t="s">
        <v>8</v>
      </c>
      <c r="D40" t="s">
        <v>25</v>
      </c>
      <c r="F40" t="s">
        <v>60</v>
      </c>
      <c r="G40">
        <v>2</v>
      </c>
      <c r="H40">
        <v>60</v>
      </c>
      <c r="I40">
        <f t="shared" si="1"/>
        <v>120</v>
      </c>
      <c r="J40" t="s">
        <v>165</v>
      </c>
      <c r="K40">
        <f>380/12</f>
        <v>31.666666666666668</v>
      </c>
      <c r="M40">
        <f t="shared" si="16"/>
        <v>63.333333333333336</v>
      </c>
      <c r="N40">
        <f t="shared" si="17"/>
        <v>56.666666666666664</v>
      </c>
    </row>
    <row r="41" spans="1:14" ht="15" customHeight="1" x14ac:dyDescent="0.25">
      <c r="A41">
        <v>40</v>
      </c>
      <c r="B41" s="1">
        <v>43834</v>
      </c>
      <c r="C41" t="s">
        <v>8</v>
      </c>
      <c r="D41" t="s">
        <v>15</v>
      </c>
      <c r="F41" t="s">
        <v>63</v>
      </c>
      <c r="G41">
        <v>3</v>
      </c>
      <c r="H41">
        <v>240</v>
      </c>
      <c r="I41">
        <f t="shared" si="1"/>
        <v>720</v>
      </c>
      <c r="J41" t="s">
        <v>163</v>
      </c>
      <c r="K41">
        <v>204</v>
      </c>
      <c r="M41">
        <f t="shared" si="16"/>
        <v>612</v>
      </c>
      <c r="N41">
        <f t="shared" si="17"/>
        <v>108</v>
      </c>
    </row>
    <row r="42" spans="1:14" ht="15" customHeight="1" x14ac:dyDescent="0.25">
      <c r="A42">
        <v>41</v>
      </c>
      <c r="B42" s="1">
        <v>43834</v>
      </c>
      <c r="C42" t="s">
        <v>8</v>
      </c>
      <c r="D42" t="s">
        <v>44</v>
      </c>
      <c r="F42" t="s">
        <v>44</v>
      </c>
      <c r="G42">
        <v>1</v>
      </c>
      <c r="H42">
        <v>35</v>
      </c>
      <c r="I42">
        <f t="shared" si="1"/>
        <v>35</v>
      </c>
      <c r="J42" t="s">
        <v>166</v>
      </c>
      <c r="K42">
        <v>20</v>
      </c>
      <c r="M42">
        <f t="shared" si="16"/>
        <v>20</v>
      </c>
      <c r="N42">
        <f t="shared" si="17"/>
        <v>15</v>
      </c>
    </row>
    <row r="43" spans="1:14" ht="15" customHeight="1" x14ac:dyDescent="0.25">
      <c r="A43">
        <v>42</v>
      </c>
      <c r="B43" s="1">
        <v>43834</v>
      </c>
      <c r="C43" t="s">
        <v>8</v>
      </c>
      <c r="D43" t="s">
        <v>55</v>
      </c>
      <c r="F43" t="s">
        <v>149</v>
      </c>
      <c r="G43">
        <v>3</v>
      </c>
      <c r="H43">
        <v>290</v>
      </c>
      <c r="I43">
        <f t="shared" si="1"/>
        <v>870</v>
      </c>
      <c r="J43" t="s">
        <v>13</v>
      </c>
      <c r="K43">
        <v>271</v>
      </c>
      <c r="M43">
        <f t="shared" si="16"/>
        <v>813</v>
      </c>
      <c r="N43">
        <f t="shared" si="17"/>
        <v>57</v>
      </c>
    </row>
    <row r="44" spans="1:14" ht="15" customHeight="1" x14ac:dyDescent="0.25">
      <c r="A44">
        <v>43</v>
      </c>
      <c r="B44" s="1">
        <v>43834</v>
      </c>
      <c r="C44" t="s">
        <v>8</v>
      </c>
      <c r="D44" t="s">
        <v>15</v>
      </c>
      <c r="F44" t="s">
        <v>29</v>
      </c>
      <c r="G44">
        <v>20</v>
      </c>
      <c r="H44">
        <v>230</v>
      </c>
      <c r="I44">
        <f t="shared" si="1"/>
        <v>4600</v>
      </c>
      <c r="J44" t="s">
        <v>163</v>
      </c>
      <c r="K44">
        <v>196</v>
      </c>
      <c r="M44">
        <f t="shared" si="16"/>
        <v>3920</v>
      </c>
      <c r="N44">
        <f t="shared" si="17"/>
        <v>680</v>
      </c>
    </row>
    <row r="45" spans="1:14" ht="15" customHeight="1" x14ac:dyDescent="0.25">
      <c r="A45">
        <v>44</v>
      </c>
      <c r="B45" s="1">
        <v>43834</v>
      </c>
      <c r="C45" t="s">
        <v>8</v>
      </c>
      <c r="D45" t="s">
        <v>65</v>
      </c>
      <c r="F45" t="s">
        <v>43</v>
      </c>
      <c r="G45">
        <v>1</v>
      </c>
      <c r="H45">
        <v>60</v>
      </c>
      <c r="I45">
        <f t="shared" si="1"/>
        <v>60</v>
      </c>
      <c r="J45" t="s">
        <v>187</v>
      </c>
      <c r="K45">
        <v>42</v>
      </c>
      <c r="M45">
        <f t="shared" si="16"/>
        <v>42</v>
      </c>
      <c r="N45">
        <f t="shared" si="17"/>
        <v>18</v>
      </c>
    </row>
    <row r="46" spans="1:14" ht="15" customHeight="1" x14ac:dyDescent="0.25">
      <c r="A46">
        <v>45</v>
      </c>
      <c r="B46" s="1">
        <v>43834</v>
      </c>
      <c r="C46" t="s">
        <v>8</v>
      </c>
      <c r="D46" t="s">
        <v>56</v>
      </c>
      <c r="F46" t="s">
        <v>267</v>
      </c>
      <c r="G46">
        <v>1</v>
      </c>
      <c r="H46">
        <v>180</v>
      </c>
      <c r="I46">
        <f t="shared" si="1"/>
        <v>180</v>
      </c>
      <c r="J46" t="s">
        <v>163</v>
      </c>
      <c r="K46">
        <v>130</v>
      </c>
      <c r="M46">
        <f>+K46*G46</f>
        <v>130</v>
      </c>
      <c r="N46">
        <f>+I46-M46</f>
        <v>50</v>
      </c>
    </row>
    <row r="47" spans="1:14" ht="15" customHeight="1" x14ac:dyDescent="0.25">
      <c r="A47">
        <v>46</v>
      </c>
      <c r="B47" s="1">
        <v>43834</v>
      </c>
      <c r="C47" t="s">
        <v>8</v>
      </c>
      <c r="D47" t="s">
        <v>25</v>
      </c>
      <c r="F47" t="s">
        <v>58</v>
      </c>
      <c r="G47">
        <v>1</v>
      </c>
      <c r="H47">
        <v>60</v>
      </c>
      <c r="I47">
        <f t="shared" si="1"/>
        <v>60</v>
      </c>
      <c r="J47" t="s">
        <v>165</v>
      </c>
      <c r="K47">
        <f>380/12</f>
        <v>31.666666666666668</v>
      </c>
      <c r="M47">
        <f>+K47*G47</f>
        <v>31.666666666666668</v>
      </c>
      <c r="N47">
        <f>+I47-M47</f>
        <v>28.333333333333332</v>
      </c>
    </row>
    <row r="48" spans="1:14" ht="15" customHeight="1" x14ac:dyDescent="0.25">
      <c r="A48">
        <v>47</v>
      </c>
      <c r="B48" s="1">
        <v>43834</v>
      </c>
      <c r="C48" t="s">
        <v>8</v>
      </c>
      <c r="D48" t="s">
        <v>24</v>
      </c>
      <c r="F48" t="s">
        <v>24</v>
      </c>
      <c r="G48">
        <v>1</v>
      </c>
      <c r="H48">
        <v>100</v>
      </c>
      <c r="I48">
        <f t="shared" si="1"/>
        <v>100</v>
      </c>
      <c r="J48" t="s">
        <v>186</v>
      </c>
      <c r="K48">
        <v>85.42</v>
      </c>
      <c r="M48">
        <f>+K48*G48</f>
        <v>85.42</v>
      </c>
      <c r="N48">
        <f>+I48-M48</f>
        <v>14.579999999999998</v>
      </c>
    </row>
    <row r="49" spans="1:14" ht="15" customHeight="1" x14ac:dyDescent="0.25">
      <c r="A49">
        <v>48</v>
      </c>
      <c r="B49" s="1">
        <v>43834</v>
      </c>
      <c r="C49" t="s">
        <v>8</v>
      </c>
      <c r="D49" t="s">
        <v>15</v>
      </c>
      <c r="F49" t="s">
        <v>28</v>
      </c>
      <c r="G49">
        <v>1</v>
      </c>
      <c r="H49">
        <v>230</v>
      </c>
      <c r="I49">
        <f t="shared" si="1"/>
        <v>230</v>
      </c>
      <c r="J49" t="s">
        <v>163</v>
      </c>
      <c r="K49">
        <v>182</v>
      </c>
      <c r="M49">
        <f>+K49*G49</f>
        <v>182</v>
      </c>
      <c r="N49">
        <f>+I49-M49</f>
        <v>48</v>
      </c>
    </row>
    <row r="50" spans="1:14" ht="15" customHeight="1" x14ac:dyDescent="0.25">
      <c r="A50">
        <v>49</v>
      </c>
      <c r="B50" s="1">
        <v>43834</v>
      </c>
      <c r="C50" t="s">
        <v>8</v>
      </c>
      <c r="D50" t="s">
        <v>56</v>
      </c>
      <c r="F50" t="s">
        <v>38</v>
      </c>
      <c r="G50">
        <v>1</v>
      </c>
      <c r="H50">
        <v>110</v>
      </c>
      <c r="I50">
        <f t="shared" si="1"/>
        <v>110</v>
      </c>
      <c r="J50" t="s">
        <v>164</v>
      </c>
      <c r="K50">
        <v>70</v>
      </c>
      <c r="M50">
        <f>+K50*G50</f>
        <v>70</v>
      </c>
      <c r="N50">
        <f>+I50-M50</f>
        <v>40</v>
      </c>
    </row>
    <row r="51" spans="1:14" ht="15" customHeight="1" x14ac:dyDescent="0.25">
      <c r="A51">
        <v>50</v>
      </c>
      <c r="B51" s="1">
        <v>43834</v>
      </c>
      <c r="C51" t="s">
        <v>8</v>
      </c>
      <c r="D51" t="s">
        <v>15</v>
      </c>
      <c r="F51" t="s">
        <v>29</v>
      </c>
      <c r="G51">
        <v>1</v>
      </c>
      <c r="H51">
        <v>230</v>
      </c>
      <c r="I51">
        <f t="shared" si="1"/>
        <v>230</v>
      </c>
      <c r="J51" t="s">
        <v>163</v>
      </c>
      <c r="K51">
        <v>196</v>
      </c>
      <c r="M51">
        <f t="shared" ref="M51:M55" si="18">+K51*G51</f>
        <v>196</v>
      </c>
      <c r="N51">
        <f t="shared" ref="N51:N55" si="19">+I51-M51</f>
        <v>34</v>
      </c>
    </row>
    <row r="52" spans="1:14" ht="15" customHeight="1" x14ac:dyDescent="0.25">
      <c r="A52">
        <v>51</v>
      </c>
      <c r="B52" s="1">
        <v>43834</v>
      </c>
      <c r="C52" t="s">
        <v>8</v>
      </c>
      <c r="D52" t="s">
        <v>15</v>
      </c>
      <c r="F52" t="s">
        <v>28</v>
      </c>
      <c r="G52">
        <v>25</v>
      </c>
      <c r="H52">
        <v>230</v>
      </c>
      <c r="I52">
        <f t="shared" si="1"/>
        <v>5750</v>
      </c>
      <c r="J52" t="s">
        <v>163</v>
      </c>
      <c r="K52">
        <v>182</v>
      </c>
      <c r="M52">
        <f t="shared" si="18"/>
        <v>4550</v>
      </c>
      <c r="N52">
        <f t="shared" si="19"/>
        <v>1200</v>
      </c>
    </row>
    <row r="53" spans="1:14" ht="15" customHeight="1" x14ac:dyDescent="0.25">
      <c r="A53">
        <v>52</v>
      </c>
      <c r="B53" s="1">
        <v>43834</v>
      </c>
      <c r="C53" t="s">
        <v>8</v>
      </c>
      <c r="D53" t="s">
        <v>15</v>
      </c>
      <c r="F53" t="s">
        <v>63</v>
      </c>
      <c r="G53">
        <v>13</v>
      </c>
      <c r="H53">
        <v>240</v>
      </c>
      <c r="I53">
        <f t="shared" si="1"/>
        <v>3120</v>
      </c>
      <c r="J53" t="s">
        <v>163</v>
      </c>
      <c r="K53">
        <v>204</v>
      </c>
      <c r="M53">
        <f t="shared" si="18"/>
        <v>2652</v>
      </c>
      <c r="N53">
        <f t="shared" si="19"/>
        <v>468</v>
      </c>
    </row>
    <row r="54" spans="1:14" ht="15" customHeight="1" x14ac:dyDescent="0.25">
      <c r="A54">
        <v>53</v>
      </c>
      <c r="B54" s="1">
        <v>43834</v>
      </c>
      <c r="C54" t="s">
        <v>8</v>
      </c>
      <c r="D54" t="s">
        <v>56</v>
      </c>
      <c r="F54" t="s">
        <v>267</v>
      </c>
      <c r="G54">
        <v>4</v>
      </c>
      <c r="H54">
        <v>180</v>
      </c>
      <c r="I54" s="8">
        <f t="shared" si="1"/>
        <v>720</v>
      </c>
      <c r="J54" t="s">
        <v>163</v>
      </c>
      <c r="K54">
        <v>130</v>
      </c>
      <c r="M54">
        <f t="shared" si="18"/>
        <v>520</v>
      </c>
      <c r="N54">
        <f t="shared" si="19"/>
        <v>200</v>
      </c>
    </row>
    <row r="55" spans="1:14" ht="15" customHeight="1" x14ac:dyDescent="0.25">
      <c r="A55">
        <v>54</v>
      </c>
      <c r="B55" s="1">
        <v>43834</v>
      </c>
      <c r="C55" t="s">
        <v>8</v>
      </c>
      <c r="D55" t="s">
        <v>65</v>
      </c>
      <c r="F55" t="s">
        <v>66</v>
      </c>
      <c r="G55">
        <v>1</v>
      </c>
      <c r="H55">
        <v>120</v>
      </c>
      <c r="I55">
        <f t="shared" si="1"/>
        <v>120</v>
      </c>
      <c r="J55" t="s">
        <v>187</v>
      </c>
      <c r="K55">
        <v>88</v>
      </c>
      <c r="M55">
        <f t="shared" si="18"/>
        <v>88</v>
      </c>
      <c r="N55">
        <f t="shared" si="19"/>
        <v>32</v>
      </c>
    </row>
    <row r="56" spans="1:14" ht="15" customHeight="1" x14ac:dyDescent="0.25">
      <c r="A56">
        <v>55</v>
      </c>
      <c r="B56" s="1">
        <v>43834</v>
      </c>
      <c r="C56" t="s">
        <v>8</v>
      </c>
      <c r="D56" t="s">
        <v>15</v>
      </c>
      <c r="F56" t="s">
        <v>17</v>
      </c>
      <c r="G56">
        <f>3/4.9</f>
        <v>0.61224489795918358</v>
      </c>
      <c r="H56">
        <v>360</v>
      </c>
      <c r="I56">
        <f t="shared" si="1"/>
        <v>220.40816326530609</v>
      </c>
      <c r="J56" t="s">
        <v>13</v>
      </c>
      <c r="K56">
        <v>326</v>
      </c>
      <c r="M56">
        <f>+K56*G56</f>
        <v>199.59183673469386</v>
      </c>
      <c r="N56">
        <f>+I56-M56</f>
        <v>20.81632653061223</v>
      </c>
    </row>
    <row r="57" spans="1:14" ht="15" customHeight="1" x14ac:dyDescent="0.25">
      <c r="A57">
        <v>56</v>
      </c>
      <c r="B57" s="1">
        <v>43834</v>
      </c>
      <c r="C57" t="s">
        <v>8</v>
      </c>
      <c r="D57" t="s">
        <v>15</v>
      </c>
      <c r="F57" t="s">
        <v>59</v>
      </c>
      <c r="G57">
        <v>11</v>
      </c>
      <c r="H57">
        <v>230</v>
      </c>
      <c r="I57">
        <f t="shared" si="1"/>
        <v>2530</v>
      </c>
      <c r="J57" t="s">
        <v>163</v>
      </c>
      <c r="K57">
        <f>169.41*1.15</f>
        <v>194.82149999999999</v>
      </c>
      <c r="M57">
        <f>+K57*G57</f>
        <v>2143.0364999999997</v>
      </c>
      <c r="N57">
        <f>+I57-M57</f>
        <v>386.96350000000029</v>
      </c>
    </row>
    <row r="58" spans="1:14" ht="15" customHeight="1" x14ac:dyDescent="0.25">
      <c r="A58">
        <v>57</v>
      </c>
      <c r="B58" s="1">
        <v>43836</v>
      </c>
      <c r="C58" t="s">
        <v>8</v>
      </c>
      <c r="D58" t="s">
        <v>68</v>
      </c>
      <c r="F58" t="s">
        <v>67</v>
      </c>
      <c r="G58">
        <v>1</v>
      </c>
      <c r="H58">
        <v>190</v>
      </c>
      <c r="I58">
        <f t="shared" si="1"/>
        <v>190</v>
      </c>
      <c r="J58" t="s">
        <v>395</v>
      </c>
    </row>
    <row r="59" spans="1:14" ht="15" customHeight="1" x14ac:dyDescent="0.25">
      <c r="A59">
        <v>58</v>
      </c>
      <c r="B59" s="1">
        <v>43836</v>
      </c>
      <c r="C59" t="s">
        <v>8</v>
      </c>
      <c r="D59" t="s">
        <v>25</v>
      </c>
      <c r="F59" t="s">
        <v>58</v>
      </c>
      <c r="G59">
        <v>2</v>
      </c>
      <c r="H59">
        <v>60</v>
      </c>
      <c r="I59">
        <f t="shared" si="1"/>
        <v>120</v>
      </c>
      <c r="J59" t="s">
        <v>165</v>
      </c>
      <c r="K59">
        <f>380/12</f>
        <v>31.666666666666668</v>
      </c>
      <c r="M59">
        <f>+K59*G59</f>
        <v>63.333333333333336</v>
      </c>
      <c r="N59">
        <f>+I59-M59</f>
        <v>56.666666666666664</v>
      </c>
    </row>
    <row r="60" spans="1:14" ht="15" customHeight="1" x14ac:dyDescent="0.25">
      <c r="A60">
        <v>59</v>
      </c>
      <c r="B60" s="1">
        <v>43836</v>
      </c>
      <c r="C60" t="s">
        <v>8</v>
      </c>
      <c r="D60" t="s">
        <v>56</v>
      </c>
      <c r="F60" t="s">
        <v>267</v>
      </c>
      <c r="G60">
        <v>25</v>
      </c>
      <c r="H60">
        <v>180</v>
      </c>
      <c r="I60">
        <f t="shared" si="1"/>
        <v>4500</v>
      </c>
      <c r="J60" t="s">
        <v>163</v>
      </c>
      <c r="K60">
        <v>130</v>
      </c>
      <c r="M60">
        <f t="shared" ref="M60:M61" si="20">+K60*G60</f>
        <v>3250</v>
      </c>
      <c r="N60">
        <f t="shared" ref="N60:N61" si="21">+I60-M60</f>
        <v>1250</v>
      </c>
    </row>
    <row r="61" spans="1:14" ht="15" customHeight="1" x14ac:dyDescent="0.25">
      <c r="A61">
        <v>60</v>
      </c>
      <c r="B61" s="1">
        <v>43836</v>
      </c>
      <c r="C61" t="s">
        <v>8</v>
      </c>
      <c r="D61" t="s">
        <v>70</v>
      </c>
      <c r="F61" t="s">
        <v>69</v>
      </c>
      <c r="G61">
        <v>1</v>
      </c>
      <c r="H61">
        <v>2100</v>
      </c>
      <c r="I61">
        <f t="shared" si="1"/>
        <v>2100</v>
      </c>
      <c r="J61" t="s">
        <v>163</v>
      </c>
      <c r="K61">
        <v>1250</v>
      </c>
      <c r="M61">
        <f t="shared" si="20"/>
        <v>1250</v>
      </c>
      <c r="N61">
        <f t="shared" si="21"/>
        <v>850</v>
      </c>
    </row>
    <row r="62" spans="1:14" ht="15" customHeight="1" x14ac:dyDescent="0.25">
      <c r="A62">
        <v>61</v>
      </c>
      <c r="B62" s="1">
        <v>43836</v>
      </c>
      <c r="C62" t="s">
        <v>8</v>
      </c>
      <c r="D62" t="s">
        <v>56</v>
      </c>
      <c r="F62" t="s">
        <v>38</v>
      </c>
      <c r="G62">
        <v>1</v>
      </c>
      <c r="H62">
        <v>110</v>
      </c>
      <c r="I62">
        <f t="shared" si="1"/>
        <v>110</v>
      </c>
      <c r="J62" t="s">
        <v>164</v>
      </c>
      <c r="K62">
        <v>70</v>
      </c>
      <c r="M62">
        <f>+K62*G62</f>
        <v>70</v>
      </c>
      <c r="N62">
        <f>+I62-M62</f>
        <v>40</v>
      </c>
    </row>
    <row r="63" spans="1:14" ht="15" customHeight="1" x14ac:dyDescent="0.25">
      <c r="A63">
        <v>62</v>
      </c>
      <c r="B63" s="1">
        <v>43836</v>
      </c>
      <c r="C63" t="s">
        <v>8</v>
      </c>
      <c r="D63" t="s">
        <v>56</v>
      </c>
      <c r="F63" t="s">
        <v>267</v>
      </c>
      <c r="G63">
        <v>1</v>
      </c>
      <c r="H63">
        <v>180</v>
      </c>
      <c r="I63">
        <f t="shared" si="1"/>
        <v>180</v>
      </c>
      <c r="J63" t="s">
        <v>163</v>
      </c>
      <c r="K63">
        <v>130</v>
      </c>
      <c r="M63">
        <f t="shared" ref="M63:M64" si="22">+K63*G63</f>
        <v>130</v>
      </c>
      <c r="N63">
        <f t="shared" ref="N63:N64" si="23">+I63-M63</f>
        <v>50</v>
      </c>
    </row>
    <row r="64" spans="1:14" ht="15" customHeight="1" x14ac:dyDescent="0.25">
      <c r="A64">
        <v>63</v>
      </c>
      <c r="B64" s="1">
        <v>43836</v>
      </c>
      <c r="C64" t="s">
        <v>8</v>
      </c>
      <c r="D64" t="s">
        <v>15</v>
      </c>
      <c r="F64" t="s">
        <v>20</v>
      </c>
      <c r="G64">
        <v>2</v>
      </c>
      <c r="H64">
        <v>240</v>
      </c>
      <c r="I64">
        <f t="shared" si="1"/>
        <v>480</v>
      </c>
      <c r="J64" t="s">
        <v>163</v>
      </c>
      <c r="K64">
        <v>216</v>
      </c>
      <c r="M64">
        <f t="shared" si="22"/>
        <v>432</v>
      </c>
      <c r="N64">
        <f t="shared" si="23"/>
        <v>48</v>
      </c>
    </row>
    <row r="65" spans="1:14" ht="15" customHeight="1" x14ac:dyDescent="0.25">
      <c r="A65">
        <v>64</v>
      </c>
      <c r="B65" s="1">
        <v>43836</v>
      </c>
      <c r="C65" t="s">
        <v>8</v>
      </c>
      <c r="D65" t="s">
        <v>25</v>
      </c>
      <c r="F65" t="s">
        <v>71</v>
      </c>
      <c r="G65">
        <v>1</v>
      </c>
      <c r="H65">
        <v>60</v>
      </c>
      <c r="I65">
        <f t="shared" si="1"/>
        <v>60</v>
      </c>
      <c r="J65" t="s">
        <v>165</v>
      </c>
      <c r="K65">
        <f>380/12</f>
        <v>31.666666666666668</v>
      </c>
      <c r="M65">
        <f>+K65*G65</f>
        <v>31.666666666666668</v>
      </c>
      <c r="N65">
        <f>+I65-M65</f>
        <v>28.333333333333332</v>
      </c>
    </row>
    <row r="66" spans="1:14" ht="15" customHeight="1" x14ac:dyDescent="0.25">
      <c r="A66">
        <v>65</v>
      </c>
      <c r="B66" s="1">
        <v>43836</v>
      </c>
      <c r="C66" t="s">
        <v>8</v>
      </c>
      <c r="D66" t="s">
        <v>15</v>
      </c>
      <c r="F66" t="s">
        <v>63</v>
      </c>
      <c r="G66">
        <f>3*9</f>
        <v>27</v>
      </c>
      <c r="H66">
        <v>240</v>
      </c>
      <c r="I66">
        <f t="shared" si="1"/>
        <v>6480</v>
      </c>
      <c r="J66" t="s">
        <v>163</v>
      </c>
      <c r="K66">
        <v>204</v>
      </c>
      <c r="M66">
        <f>+K66*G66</f>
        <v>5508</v>
      </c>
      <c r="N66">
        <f>+I66-M66</f>
        <v>972</v>
      </c>
    </row>
    <row r="67" spans="1:14" ht="15" customHeight="1" x14ac:dyDescent="0.25">
      <c r="A67">
        <v>66</v>
      </c>
      <c r="B67" s="1">
        <v>43836</v>
      </c>
      <c r="C67" t="s">
        <v>8</v>
      </c>
      <c r="D67" t="s">
        <v>25</v>
      </c>
      <c r="F67" t="s">
        <v>72</v>
      </c>
      <c r="G67">
        <v>1</v>
      </c>
      <c r="H67">
        <v>60</v>
      </c>
      <c r="I67">
        <f t="shared" ref="I67:I130" si="24">+G67*H67</f>
        <v>60</v>
      </c>
      <c r="J67" t="s">
        <v>165</v>
      </c>
      <c r="K67">
        <f>380/12</f>
        <v>31.666666666666668</v>
      </c>
      <c r="M67">
        <f>+K67*G67</f>
        <v>31.666666666666668</v>
      </c>
      <c r="N67">
        <f>+I67-M67</f>
        <v>28.333333333333332</v>
      </c>
    </row>
    <row r="68" spans="1:14" ht="15" customHeight="1" x14ac:dyDescent="0.25">
      <c r="A68">
        <v>67</v>
      </c>
      <c r="B68" s="1">
        <v>43836</v>
      </c>
      <c r="C68" t="s">
        <v>8</v>
      </c>
      <c r="D68" t="s">
        <v>15</v>
      </c>
      <c r="F68" t="s">
        <v>28</v>
      </c>
      <c r="G68">
        <f>10/9</f>
        <v>1.1111111111111112</v>
      </c>
      <c r="H68">
        <v>230</v>
      </c>
      <c r="I68">
        <f t="shared" si="24"/>
        <v>255.55555555555557</v>
      </c>
      <c r="J68" t="s">
        <v>163</v>
      </c>
      <c r="K68">
        <v>182</v>
      </c>
      <c r="M68">
        <f t="shared" ref="M68:M71" si="25">+K68*G68</f>
        <v>202.22222222222223</v>
      </c>
      <c r="N68">
        <f t="shared" ref="N68:N71" si="26">+I68-M68</f>
        <v>53.333333333333343</v>
      </c>
    </row>
    <row r="69" spans="1:14" ht="15" customHeight="1" x14ac:dyDescent="0.25">
      <c r="A69">
        <v>68</v>
      </c>
      <c r="B69" s="1">
        <v>43836</v>
      </c>
      <c r="C69" t="s">
        <v>8</v>
      </c>
      <c r="D69" t="s">
        <v>75</v>
      </c>
      <c r="F69" t="s">
        <v>73</v>
      </c>
      <c r="G69">
        <v>20</v>
      </c>
      <c r="H69">
        <v>45</v>
      </c>
      <c r="I69">
        <f t="shared" si="24"/>
        <v>900</v>
      </c>
      <c r="J69" t="s">
        <v>163</v>
      </c>
      <c r="K69">
        <v>22</v>
      </c>
      <c r="M69">
        <f t="shared" si="25"/>
        <v>440</v>
      </c>
      <c r="N69">
        <f t="shared" si="26"/>
        <v>460</v>
      </c>
    </row>
    <row r="70" spans="1:14" ht="15" customHeight="1" x14ac:dyDescent="0.25">
      <c r="A70">
        <v>69</v>
      </c>
      <c r="B70" s="1">
        <v>43836</v>
      </c>
      <c r="C70" t="s">
        <v>8</v>
      </c>
      <c r="D70" t="s">
        <v>15</v>
      </c>
      <c r="F70" t="s">
        <v>63</v>
      </c>
      <c r="G70">
        <v>1</v>
      </c>
      <c r="H70">
        <v>240</v>
      </c>
      <c r="I70">
        <f t="shared" si="24"/>
        <v>240</v>
      </c>
      <c r="J70" t="s">
        <v>163</v>
      </c>
      <c r="K70">
        <v>204</v>
      </c>
      <c r="M70">
        <f t="shared" si="25"/>
        <v>204</v>
      </c>
      <c r="N70">
        <f t="shared" si="26"/>
        <v>36</v>
      </c>
    </row>
    <row r="71" spans="1:14" ht="15" customHeight="1" x14ac:dyDescent="0.25">
      <c r="A71">
        <v>70</v>
      </c>
      <c r="B71" s="1">
        <v>43836</v>
      </c>
      <c r="C71" t="s">
        <v>8</v>
      </c>
      <c r="D71" t="s">
        <v>85</v>
      </c>
      <c r="F71" t="s">
        <v>41</v>
      </c>
      <c r="G71">
        <v>1</v>
      </c>
      <c r="H71">
        <v>100</v>
      </c>
      <c r="I71">
        <f t="shared" si="24"/>
        <v>100</v>
      </c>
      <c r="J71" t="s">
        <v>166</v>
      </c>
      <c r="K71">
        <v>72</v>
      </c>
      <c r="M71">
        <f t="shared" si="25"/>
        <v>72</v>
      </c>
      <c r="N71">
        <f t="shared" si="26"/>
        <v>28</v>
      </c>
    </row>
    <row r="72" spans="1:14" ht="15" customHeight="1" x14ac:dyDescent="0.25">
      <c r="A72">
        <v>71</v>
      </c>
      <c r="B72" s="1">
        <v>43836</v>
      </c>
      <c r="C72" t="s">
        <v>8</v>
      </c>
      <c r="D72" t="s">
        <v>15</v>
      </c>
      <c r="F72" t="s">
        <v>54</v>
      </c>
      <c r="G72">
        <v>73</v>
      </c>
      <c r="H72">
        <v>240</v>
      </c>
      <c r="I72">
        <f t="shared" si="24"/>
        <v>17520</v>
      </c>
      <c r="J72" t="s">
        <v>163</v>
      </c>
      <c r="K72">
        <v>212</v>
      </c>
      <c r="M72">
        <f t="shared" ref="M72:M75" si="27">+K72*G72</f>
        <v>15476</v>
      </c>
      <c r="N72">
        <f t="shared" ref="N72:N75" si="28">+I72-M72</f>
        <v>2044</v>
      </c>
    </row>
    <row r="73" spans="1:14" ht="15" customHeight="1" x14ac:dyDescent="0.25">
      <c r="A73">
        <v>72</v>
      </c>
      <c r="B73" s="1">
        <v>43836</v>
      </c>
      <c r="C73" t="s">
        <v>8</v>
      </c>
      <c r="D73" t="s">
        <v>15</v>
      </c>
      <c r="F73" t="s">
        <v>76</v>
      </c>
      <c r="G73">
        <v>10</v>
      </c>
      <c r="H73">
        <v>230</v>
      </c>
      <c r="I73">
        <f t="shared" si="24"/>
        <v>2300</v>
      </c>
      <c r="J73" t="s">
        <v>163</v>
      </c>
      <c r="K73">
        <v>176</v>
      </c>
      <c r="M73">
        <f t="shared" si="27"/>
        <v>1760</v>
      </c>
      <c r="N73">
        <f t="shared" si="28"/>
        <v>540</v>
      </c>
    </row>
    <row r="74" spans="1:14" ht="15" customHeight="1" x14ac:dyDescent="0.25">
      <c r="A74">
        <v>73</v>
      </c>
      <c r="B74" s="1">
        <v>43836</v>
      </c>
      <c r="C74" t="s">
        <v>8</v>
      </c>
      <c r="D74" t="s">
        <v>56</v>
      </c>
      <c r="F74" t="s">
        <v>267</v>
      </c>
      <c r="G74">
        <v>5</v>
      </c>
      <c r="H74">
        <v>180</v>
      </c>
      <c r="I74">
        <f t="shared" si="24"/>
        <v>900</v>
      </c>
      <c r="J74" t="s">
        <v>163</v>
      </c>
      <c r="K74">
        <v>130</v>
      </c>
      <c r="M74">
        <f t="shared" si="27"/>
        <v>650</v>
      </c>
      <c r="N74">
        <f t="shared" si="28"/>
        <v>250</v>
      </c>
    </row>
    <row r="75" spans="1:14" ht="15" customHeight="1" x14ac:dyDescent="0.25">
      <c r="A75">
        <v>74</v>
      </c>
      <c r="B75" s="1">
        <v>43836</v>
      </c>
      <c r="C75" t="s">
        <v>8</v>
      </c>
      <c r="D75" t="s">
        <v>44</v>
      </c>
      <c r="F75" t="s">
        <v>77</v>
      </c>
      <c r="G75">
        <v>2</v>
      </c>
      <c r="H75">
        <v>35</v>
      </c>
      <c r="I75">
        <f t="shared" si="24"/>
        <v>70</v>
      </c>
      <c r="J75" t="s">
        <v>166</v>
      </c>
      <c r="K75">
        <v>20</v>
      </c>
      <c r="M75">
        <f t="shared" si="27"/>
        <v>40</v>
      </c>
      <c r="N75">
        <f t="shared" si="28"/>
        <v>30</v>
      </c>
    </row>
    <row r="76" spans="1:14" ht="15" customHeight="1" x14ac:dyDescent="0.25">
      <c r="A76">
        <v>75</v>
      </c>
      <c r="B76" s="1">
        <v>43836</v>
      </c>
      <c r="C76" t="s">
        <v>8</v>
      </c>
      <c r="D76" t="s">
        <v>25</v>
      </c>
      <c r="F76" t="s">
        <v>25</v>
      </c>
      <c r="G76">
        <v>2</v>
      </c>
      <c r="H76">
        <v>60</v>
      </c>
      <c r="I76">
        <f t="shared" si="24"/>
        <v>120</v>
      </c>
      <c r="J76" t="s">
        <v>165</v>
      </c>
      <c r="K76">
        <f>380/12</f>
        <v>31.666666666666668</v>
      </c>
      <c r="M76">
        <f>+K76*G76</f>
        <v>63.333333333333336</v>
      </c>
      <c r="N76">
        <f>+I76-M76</f>
        <v>56.666666666666664</v>
      </c>
    </row>
    <row r="77" spans="1:14" ht="15" customHeight="1" x14ac:dyDescent="0.25">
      <c r="A77">
        <v>76</v>
      </c>
      <c r="B77" s="1">
        <v>43836</v>
      </c>
      <c r="C77" t="s">
        <v>8</v>
      </c>
      <c r="D77" t="s">
        <v>74</v>
      </c>
      <c r="F77" t="s">
        <v>46</v>
      </c>
      <c r="G77">
        <v>1</v>
      </c>
      <c r="H77">
        <v>400</v>
      </c>
      <c r="I77">
        <f t="shared" si="24"/>
        <v>400</v>
      </c>
      <c r="J77" t="s">
        <v>167</v>
      </c>
      <c r="K77">
        <v>320</v>
      </c>
      <c r="M77">
        <f>+K77*G77</f>
        <v>320</v>
      </c>
      <c r="N77">
        <f>+I77-M1:M77</f>
        <v>80</v>
      </c>
    </row>
    <row r="78" spans="1:14" ht="15" customHeight="1" x14ac:dyDescent="0.25">
      <c r="A78">
        <v>77</v>
      </c>
      <c r="B78" s="1">
        <v>43836</v>
      </c>
      <c r="C78" t="s">
        <v>8</v>
      </c>
      <c r="D78" t="s">
        <v>78</v>
      </c>
      <c r="F78" t="s">
        <v>79</v>
      </c>
      <c r="G78">
        <v>1</v>
      </c>
      <c r="H78">
        <v>1550</v>
      </c>
      <c r="I78">
        <f t="shared" si="24"/>
        <v>1550</v>
      </c>
      <c r="J78" t="s">
        <v>167</v>
      </c>
      <c r="K78">
        <v>1330</v>
      </c>
      <c r="M78">
        <f>+K78*G78</f>
        <v>1330</v>
      </c>
      <c r="N78">
        <f>+I78-M2:M78</f>
        <v>220</v>
      </c>
    </row>
    <row r="79" spans="1:14" ht="15" customHeight="1" x14ac:dyDescent="0.25">
      <c r="A79">
        <v>78</v>
      </c>
      <c r="B79" s="1">
        <v>43837</v>
      </c>
      <c r="C79" t="s">
        <v>8</v>
      </c>
      <c r="D79" t="s">
        <v>15</v>
      </c>
      <c r="F79" t="s">
        <v>80</v>
      </c>
      <c r="G79">
        <v>21</v>
      </c>
      <c r="H79">
        <v>240</v>
      </c>
      <c r="I79">
        <f t="shared" si="24"/>
        <v>5040</v>
      </c>
      <c r="J79" t="s">
        <v>163</v>
      </c>
      <c r="K79">
        <v>212</v>
      </c>
      <c r="M79">
        <f t="shared" ref="M79:M82" si="29">+K79*G79</f>
        <v>4452</v>
      </c>
      <c r="N79">
        <f t="shared" ref="N79:N82" si="30">+I79-M79</f>
        <v>588</v>
      </c>
    </row>
    <row r="80" spans="1:14" ht="15" customHeight="1" x14ac:dyDescent="0.25">
      <c r="A80">
        <v>79</v>
      </c>
      <c r="B80" s="1">
        <v>43837</v>
      </c>
      <c r="C80" t="s">
        <v>8</v>
      </c>
      <c r="D80" t="s">
        <v>56</v>
      </c>
      <c r="F80" t="s">
        <v>267</v>
      </c>
      <c r="G80">
        <v>1</v>
      </c>
      <c r="H80">
        <v>180</v>
      </c>
      <c r="I80">
        <f t="shared" si="24"/>
        <v>180</v>
      </c>
      <c r="J80" t="s">
        <v>163</v>
      </c>
      <c r="K80">
        <v>130</v>
      </c>
      <c r="M80">
        <f t="shared" si="29"/>
        <v>130</v>
      </c>
      <c r="N80">
        <f t="shared" si="30"/>
        <v>50</v>
      </c>
    </row>
    <row r="81" spans="1:14" ht="15" customHeight="1" x14ac:dyDescent="0.25">
      <c r="A81">
        <v>80</v>
      </c>
      <c r="B81" s="1">
        <v>43837</v>
      </c>
      <c r="C81" t="s">
        <v>8</v>
      </c>
      <c r="D81" t="s">
        <v>75</v>
      </c>
      <c r="F81" t="s">
        <v>81</v>
      </c>
      <c r="G81">
        <v>5</v>
      </c>
      <c r="H81">
        <v>45</v>
      </c>
      <c r="I81">
        <f t="shared" si="24"/>
        <v>225</v>
      </c>
      <c r="J81" t="s">
        <v>163</v>
      </c>
      <c r="K81">
        <v>22</v>
      </c>
      <c r="M81">
        <f t="shared" si="29"/>
        <v>110</v>
      </c>
      <c r="N81">
        <f t="shared" si="30"/>
        <v>115</v>
      </c>
    </row>
    <row r="82" spans="1:14" ht="15" customHeight="1" x14ac:dyDescent="0.25">
      <c r="A82">
        <v>81</v>
      </c>
      <c r="B82" s="1">
        <v>43837</v>
      </c>
      <c r="C82" t="s">
        <v>8</v>
      </c>
      <c r="D82" t="s">
        <v>75</v>
      </c>
      <c r="F82" t="s">
        <v>81</v>
      </c>
      <c r="G82">
        <v>5</v>
      </c>
      <c r="H82">
        <v>45</v>
      </c>
      <c r="I82">
        <f t="shared" si="24"/>
        <v>225</v>
      </c>
      <c r="J82" t="s">
        <v>163</v>
      </c>
      <c r="K82">
        <v>22</v>
      </c>
      <c r="M82">
        <f t="shared" si="29"/>
        <v>110</v>
      </c>
      <c r="N82">
        <f t="shared" si="30"/>
        <v>115</v>
      </c>
    </row>
    <row r="83" spans="1:14" ht="15" customHeight="1" x14ac:dyDescent="0.25">
      <c r="A83">
        <v>82</v>
      </c>
      <c r="B83" s="1">
        <v>43837</v>
      </c>
      <c r="C83" t="s">
        <v>8</v>
      </c>
      <c r="D83" t="s">
        <v>64</v>
      </c>
      <c r="F83" t="s">
        <v>82</v>
      </c>
      <c r="G83">
        <v>3</v>
      </c>
      <c r="H83">
        <v>430</v>
      </c>
      <c r="I83">
        <f t="shared" si="24"/>
        <v>1290</v>
      </c>
      <c r="J83" t="s">
        <v>13</v>
      </c>
      <c r="K83">
        <v>271</v>
      </c>
      <c r="M83">
        <f>+K83*G83</f>
        <v>813</v>
      </c>
      <c r="N83">
        <f>+I83-M83</f>
        <v>477</v>
      </c>
    </row>
    <row r="84" spans="1:14" ht="15" customHeight="1" x14ac:dyDescent="0.25">
      <c r="A84">
        <v>83</v>
      </c>
      <c r="B84" s="1">
        <v>43837</v>
      </c>
      <c r="C84" t="s">
        <v>8</v>
      </c>
      <c r="D84" t="s">
        <v>25</v>
      </c>
      <c r="F84" t="s">
        <v>83</v>
      </c>
      <c r="G84">
        <v>1</v>
      </c>
      <c r="H84">
        <v>60</v>
      </c>
      <c r="I84">
        <f t="shared" si="24"/>
        <v>60</v>
      </c>
      <c r="J84" t="s">
        <v>165</v>
      </c>
      <c r="K84">
        <f>380/12</f>
        <v>31.666666666666668</v>
      </c>
      <c r="M84">
        <f>+K84*G84</f>
        <v>31.666666666666668</v>
      </c>
      <c r="N84">
        <f>+I84-M84</f>
        <v>28.333333333333332</v>
      </c>
    </row>
    <row r="85" spans="1:14" ht="15" customHeight="1" x14ac:dyDescent="0.25">
      <c r="A85">
        <v>84</v>
      </c>
      <c r="B85" s="1">
        <v>43837</v>
      </c>
      <c r="C85" t="s">
        <v>8</v>
      </c>
      <c r="D85" t="s">
        <v>24</v>
      </c>
      <c r="F85" t="s">
        <v>24</v>
      </c>
      <c r="G85">
        <v>1</v>
      </c>
      <c r="H85">
        <v>150</v>
      </c>
      <c r="I85">
        <f t="shared" si="24"/>
        <v>150</v>
      </c>
      <c r="J85" t="s">
        <v>13</v>
      </c>
      <c r="K85">
        <v>135</v>
      </c>
      <c r="M85">
        <f>+K85*G85</f>
        <v>135</v>
      </c>
      <c r="N85">
        <f>+I85-M85</f>
        <v>15</v>
      </c>
    </row>
    <row r="86" spans="1:14" ht="15" customHeight="1" x14ac:dyDescent="0.25">
      <c r="A86">
        <v>85</v>
      </c>
      <c r="B86" s="1">
        <v>43837</v>
      </c>
      <c r="C86" t="s">
        <v>8</v>
      </c>
      <c r="D86" t="s">
        <v>15</v>
      </c>
      <c r="F86" t="s">
        <v>52</v>
      </c>
      <c r="G86">
        <v>4</v>
      </c>
      <c r="H86">
        <v>240</v>
      </c>
      <c r="I86">
        <f t="shared" si="24"/>
        <v>960</v>
      </c>
      <c r="J86" t="s">
        <v>163</v>
      </c>
      <c r="K86">
        <v>200</v>
      </c>
      <c r="M86">
        <f t="shared" ref="M86:M88" si="31">+K86*G86</f>
        <v>800</v>
      </c>
      <c r="N86">
        <f t="shared" ref="N86:N88" si="32">+I86-M86</f>
        <v>160</v>
      </c>
    </row>
    <row r="87" spans="1:14" ht="15" customHeight="1" x14ac:dyDescent="0.25">
      <c r="A87">
        <v>86</v>
      </c>
      <c r="B87" s="1">
        <v>43837</v>
      </c>
      <c r="C87" t="s">
        <v>8</v>
      </c>
      <c r="D87" t="s">
        <v>15</v>
      </c>
      <c r="F87" t="s">
        <v>29</v>
      </c>
      <c r="G87">
        <v>3</v>
      </c>
      <c r="H87">
        <v>230</v>
      </c>
      <c r="I87">
        <f t="shared" si="24"/>
        <v>690</v>
      </c>
      <c r="J87" t="s">
        <v>163</v>
      </c>
      <c r="K87">
        <v>196</v>
      </c>
      <c r="M87">
        <f t="shared" si="31"/>
        <v>588</v>
      </c>
      <c r="N87">
        <f t="shared" si="32"/>
        <v>102</v>
      </c>
    </row>
    <row r="88" spans="1:14" ht="15" customHeight="1" x14ac:dyDescent="0.25">
      <c r="A88">
        <v>87</v>
      </c>
      <c r="B88" s="1">
        <v>43837</v>
      </c>
      <c r="C88" t="s">
        <v>8</v>
      </c>
      <c r="D88" t="s">
        <v>75</v>
      </c>
      <c r="F88" t="s">
        <v>81</v>
      </c>
      <c r="G88">
        <v>10</v>
      </c>
      <c r="H88">
        <v>45</v>
      </c>
      <c r="I88">
        <f t="shared" si="24"/>
        <v>450</v>
      </c>
      <c r="J88" t="s">
        <v>163</v>
      </c>
      <c r="K88">
        <v>22</v>
      </c>
      <c r="M88">
        <f t="shared" si="31"/>
        <v>220</v>
      </c>
      <c r="N88">
        <f t="shared" si="32"/>
        <v>230</v>
      </c>
    </row>
    <row r="89" spans="1:14" ht="15" customHeight="1" x14ac:dyDescent="0.25">
      <c r="A89">
        <v>88</v>
      </c>
      <c r="B89" s="1">
        <v>43837</v>
      </c>
      <c r="C89" t="s">
        <v>8</v>
      </c>
      <c r="D89" t="s">
        <v>15</v>
      </c>
      <c r="F89" t="s">
        <v>312</v>
      </c>
      <c r="G89">
        <v>4</v>
      </c>
      <c r="H89">
        <v>290</v>
      </c>
      <c r="I89">
        <f t="shared" si="24"/>
        <v>1160</v>
      </c>
      <c r="J89" t="s">
        <v>13</v>
      </c>
      <c r="K89">
        <v>271</v>
      </c>
      <c r="M89">
        <f t="shared" ref="M89:M90" si="33">+K89*G89</f>
        <v>1084</v>
      </c>
      <c r="N89">
        <f t="shared" ref="N89:N90" si="34">+I89-M89</f>
        <v>76</v>
      </c>
    </row>
    <row r="90" spans="1:14" ht="15" customHeight="1" x14ac:dyDescent="0.25">
      <c r="A90">
        <v>89</v>
      </c>
      <c r="B90" s="1">
        <v>43837</v>
      </c>
      <c r="C90" t="s">
        <v>8</v>
      </c>
      <c r="D90" t="s">
        <v>15</v>
      </c>
      <c r="F90" t="s">
        <v>19</v>
      </c>
      <c r="G90">
        <v>1</v>
      </c>
      <c r="H90">
        <v>290</v>
      </c>
      <c r="I90">
        <f t="shared" si="24"/>
        <v>290</v>
      </c>
      <c r="J90" t="s">
        <v>13</v>
      </c>
      <c r="K90">
        <v>271</v>
      </c>
      <c r="M90">
        <f t="shared" si="33"/>
        <v>271</v>
      </c>
      <c r="N90">
        <f t="shared" si="34"/>
        <v>19</v>
      </c>
    </row>
    <row r="91" spans="1:14" ht="15" customHeight="1" x14ac:dyDescent="0.25">
      <c r="A91">
        <v>90</v>
      </c>
      <c r="B91" s="1">
        <v>43837</v>
      </c>
      <c r="C91" t="s">
        <v>8</v>
      </c>
      <c r="D91" t="s">
        <v>56</v>
      </c>
      <c r="F91" t="s">
        <v>38</v>
      </c>
      <c r="G91">
        <v>4</v>
      </c>
      <c r="H91">
        <v>110</v>
      </c>
      <c r="I91">
        <f t="shared" si="24"/>
        <v>440</v>
      </c>
      <c r="J91" t="s">
        <v>164</v>
      </c>
      <c r="K91">
        <v>70</v>
      </c>
      <c r="M91">
        <f>+K91*G91</f>
        <v>280</v>
      </c>
      <c r="N91">
        <f>+I91-M91</f>
        <v>160</v>
      </c>
    </row>
    <row r="92" spans="1:14" ht="15" customHeight="1" x14ac:dyDescent="0.25">
      <c r="A92">
        <v>91</v>
      </c>
      <c r="B92" s="1">
        <v>43837</v>
      </c>
      <c r="C92" t="s">
        <v>8</v>
      </c>
      <c r="D92" t="s">
        <v>15</v>
      </c>
      <c r="F92" t="s">
        <v>20</v>
      </c>
      <c r="G92">
        <v>55</v>
      </c>
      <c r="H92">
        <v>240</v>
      </c>
      <c r="I92">
        <f t="shared" si="24"/>
        <v>13200</v>
      </c>
      <c r="J92" t="s">
        <v>163</v>
      </c>
      <c r="K92">
        <v>216</v>
      </c>
      <c r="M92">
        <f t="shared" ref="M92:M94" si="35">+K92*G92</f>
        <v>11880</v>
      </c>
      <c r="N92">
        <f t="shared" ref="N92:N94" si="36">+I92-M92</f>
        <v>1320</v>
      </c>
    </row>
    <row r="93" spans="1:14" ht="15" customHeight="1" x14ac:dyDescent="0.25">
      <c r="A93">
        <v>92</v>
      </c>
      <c r="B93" s="1">
        <v>43837</v>
      </c>
      <c r="C93" t="s">
        <v>8</v>
      </c>
      <c r="D93" t="s">
        <v>15</v>
      </c>
      <c r="F93" t="s">
        <v>33</v>
      </c>
      <c r="G93">
        <v>4</v>
      </c>
      <c r="H93">
        <v>230</v>
      </c>
      <c r="I93">
        <f t="shared" si="24"/>
        <v>920</v>
      </c>
      <c r="J93" t="s">
        <v>163</v>
      </c>
      <c r="K93">
        <v>182</v>
      </c>
      <c r="M93">
        <f t="shared" si="35"/>
        <v>728</v>
      </c>
      <c r="N93">
        <f t="shared" si="36"/>
        <v>192</v>
      </c>
    </row>
    <row r="94" spans="1:14" ht="15" customHeight="1" x14ac:dyDescent="0.25">
      <c r="A94">
        <v>93</v>
      </c>
      <c r="B94" s="1">
        <v>43837</v>
      </c>
      <c r="C94" t="s">
        <v>8</v>
      </c>
      <c r="D94" t="s">
        <v>15</v>
      </c>
      <c r="F94" t="s">
        <v>80</v>
      </c>
      <c r="G94">
        <v>6</v>
      </c>
      <c r="H94">
        <v>240</v>
      </c>
      <c r="I94">
        <f t="shared" si="24"/>
        <v>1440</v>
      </c>
      <c r="J94" t="s">
        <v>163</v>
      </c>
      <c r="K94">
        <v>212</v>
      </c>
      <c r="M94">
        <f t="shared" si="35"/>
        <v>1272</v>
      </c>
      <c r="N94">
        <f t="shared" si="36"/>
        <v>168</v>
      </c>
    </row>
    <row r="95" spans="1:14" ht="15" customHeight="1" x14ac:dyDescent="0.25">
      <c r="A95">
        <v>94</v>
      </c>
      <c r="B95" s="1">
        <v>43837</v>
      </c>
      <c r="C95" t="s">
        <v>8</v>
      </c>
      <c r="D95" t="s">
        <v>56</v>
      </c>
      <c r="F95" t="s">
        <v>38</v>
      </c>
      <c r="G95">
        <v>2</v>
      </c>
      <c r="H95">
        <v>110</v>
      </c>
      <c r="I95">
        <f t="shared" si="24"/>
        <v>220</v>
      </c>
      <c r="J95" t="s">
        <v>164</v>
      </c>
      <c r="K95">
        <v>70</v>
      </c>
      <c r="M95">
        <f>+K95*G95</f>
        <v>140</v>
      </c>
      <c r="N95">
        <f>+I95-M95</f>
        <v>80</v>
      </c>
    </row>
    <row r="96" spans="1:14" ht="15" customHeight="1" x14ac:dyDescent="0.25">
      <c r="A96">
        <v>95</v>
      </c>
      <c r="B96" s="1">
        <v>43837</v>
      </c>
      <c r="C96" t="s">
        <v>8</v>
      </c>
      <c r="D96" t="s">
        <v>56</v>
      </c>
      <c r="F96" t="s">
        <v>267</v>
      </c>
      <c r="G96">
        <v>1</v>
      </c>
      <c r="H96">
        <v>180</v>
      </c>
      <c r="I96">
        <f t="shared" si="24"/>
        <v>180</v>
      </c>
      <c r="J96" t="s">
        <v>163</v>
      </c>
      <c r="K96">
        <v>130</v>
      </c>
      <c r="M96">
        <f>+K96*G96</f>
        <v>130</v>
      </c>
      <c r="N96">
        <f>+I96-M96</f>
        <v>50</v>
      </c>
    </row>
    <row r="97" spans="1:14" ht="15" customHeight="1" x14ac:dyDescent="0.25">
      <c r="A97">
        <v>96</v>
      </c>
      <c r="B97" s="1">
        <v>43837</v>
      </c>
      <c r="C97" t="s">
        <v>8</v>
      </c>
      <c r="D97" t="s">
        <v>85</v>
      </c>
      <c r="F97" t="s">
        <v>84</v>
      </c>
      <c r="G97">
        <v>1</v>
      </c>
      <c r="H97">
        <v>70</v>
      </c>
      <c r="I97">
        <f t="shared" si="24"/>
        <v>70</v>
      </c>
      <c r="J97" t="s">
        <v>166</v>
      </c>
      <c r="K97">
        <v>43</v>
      </c>
      <c r="M97">
        <f t="shared" ref="M97:M99" si="37">+K97*G97</f>
        <v>43</v>
      </c>
      <c r="N97">
        <f t="shared" ref="N97:N99" si="38">+I97-M97</f>
        <v>27</v>
      </c>
    </row>
    <row r="98" spans="1:14" ht="15" customHeight="1" x14ac:dyDescent="0.25">
      <c r="A98">
        <v>97</v>
      </c>
      <c r="B98" s="1">
        <v>43837</v>
      </c>
      <c r="C98" t="s">
        <v>8</v>
      </c>
      <c r="D98" t="s">
        <v>85</v>
      </c>
      <c r="F98" t="s">
        <v>41</v>
      </c>
      <c r="G98">
        <v>1</v>
      </c>
      <c r="H98">
        <v>160</v>
      </c>
      <c r="I98">
        <f t="shared" si="24"/>
        <v>160</v>
      </c>
      <c r="J98" t="s">
        <v>166</v>
      </c>
      <c r="K98">
        <v>110</v>
      </c>
      <c r="M98">
        <f t="shared" si="37"/>
        <v>110</v>
      </c>
      <c r="N98">
        <f>+I98-M98</f>
        <v>50</v>
      </c>
    </row>
    <row r="99" spans="1:14" ht="15" customHeight="1" x14ac:dyDescent="0.25">
      <c r="A99">
        <v>98</v>
      </c>
      <c r="B99" s="1">
        <v>43837</v>
      </c>
      <c r="C99" t="s">
        <v>8</v>
      </c>
      <c r="D99" t="s">
        <v>78</v>
      </c>
      <c r="F99" t="s">
        <v>42</v>
      </c>
      <c r="G99">
        <v>1</v>
      </c>
      <c r="H99">
        <v>720</v>
      </c>
      <c r="I99">
        <f t="shared" si="24"/>
        <v>720</v>
      </c>
      <c r="J99" t="s">
        <v>166</v>
      </c>
      <c r="K99">
        <v>517</v>
      </c>
      <c r="M99">
        <f t="shared" si="37"/>
        <v>517</v>
      </c>
      <c r="N99">
        <f t="shared" si="38"/>
        <v>203</v>
      </c>
    </row>
    <row r="100" spans="1:14" ht="15" customHeight="1" x14ac:dyDescent="0.25">
      <c r="A100">
        <v>99</v>
      </c>
      <c r="B100" s="1">
        <v>43837</v>
      </c>
      <c r="C100" t="s">
        <v>8</v>
      </c>
      <c r="D100" t="s">
        <v>15</v>
      </c>
      <c r="F100" t="s">
        <v>59</v>
      </c>
      <c r="G100">
        <f>3/9</f>
        <v>0.33333333333333331</v>
      </c>
      <c r="H100">
        <v>230</v>
      </c>
      <c r="I100">
        <f t="shared" si="24"/>
        <v>76.666666666666657</v>
      </c>
      <c r="J100" t="s">
        <v>163</v>
      </c>
      <c r="K100">
        <f>169.41*1.15</f>
        <v>194.82149999999999</v>
      </c>
      <c r="M100">
        <f>+K100*G100</f>
        <v>64.940499999999986</v>
      </c>
      <c r="N100">
        <f>+I100-M100</f>
        <v>11.726166666666671</v>
      </c>
    </row>
    <row r="101" spans="1:14" ht="15" customHeight="1" x14ac:dyDescent="0.25">
      <c r="A101">
        <v>100</v>
      </c>
      <c r="B101" s="1">
        <v>43837</v>
      </c>
      <c r="C101" t="s">
        <v>8</v>
      </c>
      <c r="D101" t="s">
        <v>85</v>
      </c>
      <c r="F101" t="s">
        <v>86</v>
      </c>
      <c r="G101">
        <v>1</v>
      </c>
      <c r="H101">
        <v>900</v>
      </c>
      <c r="I101">
        <f t="shared" si="24"/>
        <v>900</v>
      </c>
      <c r="J101" t="s">
        <v>167</v>
      </c>
      <c r="K101">
        <v>470</v>
      </c>
      <c r="M101">
        <f>+K101*G101</f>
        <v>470</v>
      </c>
      <c r="N101">
        <f>+I101-M25:M101</f>
        <v>430</v>
      </c>
    </row>
    <row r="102" spans="1:14" ht="15" customHeight="1" x14ac:dyDescent="0.25">
      <c r="A102">
        <v>101</v>
      </c>
      <c r="B102" s="1">
        <v>43837</v>
      </c>
      <c r="C102" t="s">
        <v>8</v>
      </c>
      <c r="D102" t="s">
        <v>55</v>
      </c>
      <c r="F102" t="s">
        <v>22</v>
      </c>
      <c r="G102">
        <v>2</v>
      </c>
      <c r="H102">
        <v>290</v>
      </c>
      <c r="I102">
        <f t="shared" si="24"/>
        <v>580</v>
      </c>
      <c r="J102" t="s">
        <v>13</v>
      </c>
      <c r="K102">
        <v>271</v>
      </c>
      <c r="M102">
        <f>+K102*G102</f>
        <v>542</v>
      </c>
      <c r="N102">
        <f>+I102-M102</f>
        <v>38</v>
      </c>
    </row>
    <row r="103" spans="1:14" ht="15" customHeight="1" x14ac:dyDescent="0.25">
      <c r="A103">
        <v>102</v>
      </c>
      <c r="B103" s="1">
        <v>43837</v>
      </c>
      <c r="C103" t="s">
        <v>8</v>
      </c>
      <c r="D103" t="s">
        <v>56</v>
      </c>
      <c r="F103" t="s">
        <v>267</v>
      </c>
      <c r="G103">
        <v>4</v>
      </c>
      <c r="H103">
        <v>180</v>
      </c>
      <c r="I103">
        <f t="shared" si="24"/>
        <v>720</v>
      </c>
      <c r="J103" t="s">
        <v>163</v>
      </c>
      <c r="K103">
        <v>130</v>
      </c>
      <c r="M103">
        <f t="shared" ref="M103:M104" si="39">+K103*G103</f>
        <v>520</v>
      </c>
      <c r="N103">
        <f t="shared" ref="N103:N104" si="40">+I103-M103</f>
        <v>200</v>
      </c>
    </row>
    <row r="104" spans="1:14" ht="15" customHeight="1" x14ac:dyDescent="0.25">
      <c r="A104">
        <v>103</v>
      </c>
      <c r="B104" s="1">
        <v>43837</v>
      </c>
      <c r="C104" t="s">
        <v>8</v>
      </c>
      <c r="D104" t="s">
        <v>56</v>
      </c>
      <c r="F104" t="s">
        <v>267</v>
      </c>
      <c r="G104">
        <v>5</v>
      </c>
      <c r="H104">
        <v>180</v>
      </c>
      <c r="I104">
        <f t="shared" si="24"/>
        <v>900</v>
      </c>
      <c r="J104" t="s">
        <v>163</v>
      </c>
      <c r="K104">
        <v>130</v>
      </c>
      <c r="M104">
        <f t="shared" si="39"/>
        <v>650</v>
      </c>
      <c r="N104">
        <f t="shared" si="40"/>
        <v>250</v>
      </c>
    </row>
    <row r="105" spans="1:14" ht="15" customHeight="1" x14ac:dyDescent="0.25">
      <c r="A105">
        <v>104</v>
      </c>
      <c r="B105" s="1">
        <v>43838</v>
      </c>
      <c r="C105" t="s">
        <v>8</v>
      </c>
      <c r="D105" t="s">
        <v>92</v>
      </c>
      <c r="F105" t="s">
        <v>87</v>
      </c>
      <c r="G105">
        <v>1</v>
      </c>
      <c r="H105">
        <v>600</v>
      </c>
      <c r="I105">
        <f t="shared" si="24"/>
        <v>600</v>
      </c>
      <c r="J105" t="s">
        <v>167</v>
      </c>
      <c r="K105">
        <v>360</v>
      </c>
      <c r="M105">
        <f>+K105*G105</f>
        <v>360</v>
      </c>
      <c r="N105">
        <f>+I105-M29:M105</f>
        <v>240</v>
      </c>
    </row>
    <row r="106" spans="1:14" ht="15" customHeight="1" x14ac:dyDescent="0.25">
      <c r="A106">
        <v>105</v>
      </c>
      <c r="B106" s="1">
        <v>43838</v>
      </c>
      <c r="C106" t="s">
        <v>8</v>
      </c>
      <c r="D106" t="s">
        <v>55</v>
      </c>
      <c r="F106" t="s">
        <v>88</v>
      </c>
      <c r="G106">
        <v>2</v>
      </c>
      <c r="H106">
        <v>290</v>
      </c>
      <c r="I106">
        <f t="shared" si="24"/>
        <v>580</v>
      </c>
      <c r="J106" t="s">
        <v>13</v>
      </c>
      <c r="K106">
        <v>271</v>
      </c>
      <c r="M106">
        <f t="shared" ref="M106:M108" si="41">+K106*G106</f>
        <v>542</v>
      </c>
      <c r="N106">
        <f t="shared" ref="N106:N108" si="42">+I106-M106</f>
        <v>38</v>
      </c>
    </row>
    <row r="107" spans="1:14" ht="15" customHeight="1" x14ac:dyDescent="0.25">
      <c r="A107">
        <v>106</v>
      </c>
      <c r="B107" s="1">
        <v>43838</v>
      </c>
      <c r="C107" t="s">
        <v>8</v>
      </c>
      <c r="D107" t="s">
        <v>55</v>
      </c>
      <c r="F107" t="s">
        <v>89</v>
      </c>
      <c r="G107">
        <f>4/17</f>
        <v>0.23529411764705882</v>
      </c>
      <c r="H107">
        <v>290</v>
      </c>
      <c r="I107">
        <f t="shared" si="24"/>
        <v>68.235294117647058</v>
      </c>
      <c r="J107" t="s">
        <v>13</v>
      </c>
      <c r="K107">
        <v>271</v>
      </c>
      <c r="M107">
        <f t="shared" si="41"/>
        <v>63.764705882352942</v>
      </c>
      <c r="N107">
        <f t="shared" si="42"/>
        <v>4.470588235294116</v>
      </c>
    </row>
    <row r="108" spans="1:14" ht="15" customHeight="1" x14ac:dyDescent="0.25">
      <c r="A108">
        <v>107</v>
      </c>
      <c r="B108" s="1">
        <v>43838</v>
      </c>
      <c r="C108" t="s">
        <v>8</v>
      </c>
      <c r="D108" t="s">
        <v>55</v>
      </c>
      <c r="F108" t="s">
        <v>22</v>
      </c>
      <c r="G108">
        <v>4</v>
      </c>
      <c r="H108">
        <v>290</v>
      </c>
      <c r="I108">
        <f t="shared" si="24"/>
        <v>1160</v>
      </c>
      <c r="J108" t="s">
        <v>13</v>
      </c>
      <c r="K108">
        <v>271</v>
      </c>
      <c r="M108">
        <f t="shared" si="41"/>
        <v>1084</v>
      </c>
      <c r="N108">
        <f t="shared" si="42"/>
        <v>76</v>
      </c>
    </row>
    <row r="109" spans="1:14" ht="15" customHeight="1" x14ac:dyDescent="0.25">
      <c r="A109">
        <v>108</v>
      </c>
      <c r="B109" s="1">
        <v>43838</v>
      </c>
      <c r="C109" t="s">
        <v>8</v>
      </c>
      <c r="D109" t="s">
        <v>56</v>
      </c>
      <c r="F109" t="s">
        <v>38</v>
      </c>
      <c r="G109">
        <v>1</v>
      </c>
      <c r="H109">
        <v>110</v>
      </c>
      <c r="I109">
        <f t="shared" si="24"/>
        <v>110</v>
      </c>
      <c r="J109" t="s">
        <v>164</v>
      </c>
      <c r="K109">
        <v>70</v>
      </c>
      <c r="M109">
        <f>+K109*G109</f>
        <v>70</v>
      </c>
      <c r="N109">
        <f>+I109-M109</f>
        <v>40</v>
      </c>
    </row>
    <row r="110" spans="1:14" ht="15" customHeight="1" x14ac:dyDescent="0.25">
      <c r="A110">
        <v>109</v>
      </c>
      <c r="B110" s="1">
        <v>43838</v>
      </c>
      <c r="C110" t="s">
        <v>8</v>
      </c>
      <c r="D110" t="s">
        <v>15</v>
      </c>
      <c r="F110" t="s">
        <v>312</v>
      </c>
      <c r="G110">
        <v>1</v>
      </c>
      <c r="H110">
        <v>290</v>
      </c>
      <c r="I110">
        <f t="shared" si="24"/>
        <v>290</v>
      </c>
      <c r="J110" t="s">
        <v>13</v>
      </c>
      <c r="K110">
        <v>271</v>
      </c>
      <c r="M110">
        <f>+K110*G110</f>
        <v>271</v>
      </c>
      <c r="N110">
        <f>+I110-M110</f>
        <v>19</v>
      </c>
    </row>
    <row r="111" spans="1:14" ht="15" customHeight="1" x14ac:dyDescent="0.25">
      <c r="A111">
        <v>110</v>
      </c>
      <c r="B111" s="1">
        <v>43838</v>
      </c>
      <c r="C111" t="s">
        <v>8</v>
      </c>
      <c r="D111" t="s">
        <v>56</v>
      </c>
      <c r="F111" t="s">
        <v>267</v>
      </c>
      <c r="G111">
        <v>1</v>
      </c>
      <c r="H111">
        <v>180</v>
      </c>
      <c r="I111">
        <f t="shared" si="24"/>
        <v>180</v>
      </c>
      <c r="J111" t="s">
        <v>163</v>
      </c>
      <c r="K111">
        <v>130</v>
      </c>
      <c r="M111">
        <f t="shared" ref="M111:M115" si="43">+K111*G111</f>
        <v>130</v>
      </c>
      <c r="N111">
        <f t="shared" ref="N111:N115" si="44">+I111-M111</f>
        <v>50</v>
      </c>
    </row>
    <row r="112" spans="1:14" ht="15" customHeight="1" x14ac:dyDescent="0.25">
      <c r="A112">
        <v>111</v>
      </c>
      <c r="B112" s="1">
        <v>43838</v>
      </c>
      <c r="C112" t="s">
        <v>8</v>
      </c>
      <c r="D112" t="s">
        <v>15</v>
      </c>
      <c r="F112" t="s">
        <v>31</v>
      </c>
      <c r="G112">
        <v>1.5</v>
      </c>
      <c r="H112">
        <v>270</v>
      </c>
      <c r="I112">
        <f t="shared" si="24"/>
        <v>405</v>
      </c>
      <c r="J112" t="s">
        <v>163</v>
      </c>
      <c r="K112">
        <v>214</v>
      </c>
      <c r="M112">
        <f t="shared" si="43"/>
        <v>321</v>
      </c>
      <c r="N112">
        <f t="shared" si="44"/>
        <v>84</v>
      </c>
    </row>
    <row r="113" spans="1:14" ht="15" customHeight="1" x14ac:dyDescent="0.25">
      <c r="A113">
        <v>112</v>
      </c>
      <c r="B113" s="1">
        <v>43838</v>
      </c>
      <c r="C113" t="s">
        <v>8</v>
      </c>
      <c r="D113" t="s">
        <v>92</v>
      </c>
      <c r="F113" t="s">
        <v>90</v>
      </c>
      <c r="G113">
        <v>1</v>
      </c>
      <c r="H113">
        <v>150</v>
      </c>
      <c r="I113">
        <f t="shared" si="24"/>
        <v>150</v>
      </c>
      <c r="J113" t="s">
        <v>166</v>
      </c>
      <c r="K113">
        <v>77</v>
      </c>
      <c r="M113">
        <f t="shared" si="43"/>
        <v>77</v>
      </c>
      <c r="N113">
        <f t="shared" si="44"/>
        <v>73</v>
      </c>
    </row>
    <row r="114" spans="1:14" ht="15" customHeight="1" x14ac:dyDescent="0.25">
      <c r="A114">
        <v>113</v>
      </c>
      <c r="B114" s="1">
        <v>43838</v>
      </c>
      <c r="C114" t="s">
        <v>8</v>
      </c>
      <c r="D114" t="s">
        <v>92</v>
      </c>
      <c r="F114" t="s">
        <v>91</v>
      </c>
      <c r="G114">
        <v>1</v>
      </c>
      <c r="H114">
        <v>100</v>
      </c>
      <c r="I114">
        <f t="shared" si="24"/>
        <v>100</v>
      </c>
      <c r="J114" t="s">
        <v>166</v>
      </c>
      <c r="K114">
        <v>48</v>
      </c>
      <c r="M114">
        <f t="shared" si="43"/>
        <v>48</v>
      </c>
      <c r="N114">
        <f t="shared" si="44"/>
        <v>52</v>
      </c>
    </row>
    <row r="115" spans="1:14" ht="15" customHeight="1" x14ac:dyDescent="0.25">
      <c r="A115">
        <v>114</v>
      </c>
      <c r="B115" s="1">
        <v>43838</v>
      </c>
      <c r="C115" t="s">
        <v>8</v>
      </c>
      <c r="D115" t="s">
        <v>44</v>
      </c>
      <c r="F115" t="s">
        <v>44</v>
      </c>
      <c r="G115">
        <v>1</v>
      </c>
      <c r="H115">
        <v>35</v>
      </c>
      <c r="I115">
        <f t="shared" si="24"/>
        <v>35</v>
      </c>
      <c r="J115" t="s">
        <v>166</v>
      </c>
      <c r="K115">
        <v>20</v>
      </c>
      <c r="M115">
        <f t="shared" si="43"/>
        <v>20</v>
      </c>
      <c r="N115">
        <f t="shared" si="44"/>
        <v>15</v>
      </c>
    </row>
    <row r="116" spans="1:14" ht="15" customHeight="1" x14ac:dyDescent="0.25">
      <c r="A116">
        <v>115</v>
      </c>
      <c r="B116" s="1">
        <v>43838</v>
      </c>
      <c r="C116" t="s">
        <v>8</v>
      </c>
      <c r="D116" t="s">
        <v>93</v>
      </c>
      <c r="F116" t="s">
        <v>83</v>
      </c>
      <c r="G116">
        <v>1</v>
      </c>
      <c r="H116">
        <v>60</v>
      </c>
      <c r="I116">
        <f t="shared" si="24"/>
        <v>60</v>
      </c>
      <c r="J116" t="s">
        <v>165</v>
      </c>
      <c r="K116">
        <f>380/12</f>
        <v>31.666666666666668</v>
      </c>
      <c r="M116">
        <f t="shared" ref="M116:M121" si="45">+K116*G116</f>
        <v>31.666666666666668</v>
      </c>
      <c r="N116">
        <f t="shared" ref="N116:N121" si="46">+I116-M116</f>
        <v>28.333333333333332</v>
      </c>
    </row>
    <row r="117" spans="1:14" ht="15" customHeight="1" x14ac:dyDescent="0.25">
      <c r="A117">
        <v>116</v>
      </c>
      <c r="B117" s="1">
        <v>43838</v>
      </c>
      <c r="C117" t="s">
        <v>8</v>
      </c>
      <c r="D117" t="s">
        <v>15</v>
      </c>
      <c r="F117" t="s">
        <v>28</v>
      </c>
      <c r="G117">
        <f>1/9</f>
        <v>0.1111111111111111</v>
      </c>
      <c r="H117">
        <v>230</v>
      </c>
      <c r="I117">
        <f t="shared" si="24"/>
        <v>25.555555555555554</v>
      </c>
      <c r="J117" t="s">
        <v>163</v>
      </c>
      <c r="K117">
        <v>182</v>
      </c>
      <c r="M117">
        <f t="shared" si="45"/>
        <v>20.222222222222221</v>
      </c>
      <c r="N117">
        <f t="shared" si="46"/>
        <v>5.3333333333333321</v>
      </c>
    </row>
    <row r="118" spans="1:14" ht="15" customHeight="1" x14ac:dyDescent="0.25">
      <c r="A118">
        <v>117</v>
      </c>
      <c r="B118" s="1">
        <v>43838</v>
      </c>
      <c r="C118" t="s">
        <v>8</v>
      </c>
      <c r="D118" t="s">
        <v>56</v>
      </c>
      <c r="F118" t="s">
        <v>38</v>
      </c>
      <c r="G118">
        <v>1</v>
      </c>
      <c r="H118">
        <v>110</v>
      </c>
      <c r="I118">
        <f t="shared" si="24"/>
        <v>110</v>
      </c>
      <c r="J118" t="s">
        <v>164</v>
      </c>
      <c r="K118">
        <v>70</v>
      </c>
      <c r="M118">
        <f t="shared" si="45"/>
        <v>70</v>
      </c>
      <c r="N118">
        <f t="shared" si="46"/>
        <v>40</v>
      </c>
    </row>
    <row r="119" spans="1:14" ht="15" customHeight="1" x14ac:dyDescent="0.25">
      <c r="A119">
        <v>118</v>
      </c>
      <c r="B119" s="1">
        <v>43838</v>
      </c>
      <c r="C119" t="s">
        <v>8</v>
      </c>
      <c r="D119" t="s">
        <v>55</v>
      </c>
      <c r="F119" t="s">
        <v>39</v>
      </c>
      <c r="G119">
        <v>1</v>
      </c>
      <c r="H119">
        <v>290</v>
      </c>
      <c r="I119">
        <f t="shared" si="24"/>
        <v>290</v>
      </c>
      <c r="J119" t="s">
        <v>13</v>
      </c>
      <c r="K119">
        <v>271</v>
      </c>
      <c r="M119">
        <f t="shared" si="45"/>
        <v>271</v>
      </c>
      <c r="N119">
        <f t="shared" si="46"/>
        <v>19</v>
      </c>
    </row>
    <row r="120" spans="1:14" ht="15" customHeight="1" x14ac:dyDescent="0.25">
      <c r="A120">
        <v>119</v>
      </c>
      <c r="B120" s="1">
        <v>43839</v>
      </c>
      <c r="C120" t="s">
        <v>8</v>
      </c>
      <c r="D120" t="s">
        <v>15</v>
      </c>
      <c r="F120" t="s">
        <v>63</v>
      </c>
      <c r="G120">
        <v>18</v>
      </c>
      <c r="H120">
        <v>240</v>
      </c>
      <c r="I120">
        <f t="shared" si="24"/>
        <v>4320</v>
      </c>
      <c r="J120" t="s">
        <v>163</v>
      </c>
      <c r="K120">
        <v>204</v>
      </c>
      <c r="M120">
        <f t="shared" si="45"/>
        <v>3672</v>
      </c>
      <c r="N120">
        <f t="shared" si="46"/>
        <v>648</v>
      </c>
    </row>
    <row r="121" spans="1:14" ht="15" customHeight="1" x14ac:dyDescent="0.25">
      <c r="A121">
        <v>120</v>
      </c>
      <c r="B121" s="1">
        <v>43839</v>
      </c>
      <c r="C121" t="s">
        <v>8</v>
      </c>
      <c r="D121" t="s">
        <v>24</v>
      </c>
      <c r="F121" t="s">
        <v>24</v>
      </c>
      <c r="G121">
        <v>1</v>
      </c>
      <c r="H121">
        <v>100</v>
      </c>
      <c r="I121">
        <f t="shared" si="24"/>
        <v>100</v>
      </c>
      <c r="J121" t="s">
        <v>186</v>
      </c>
      <c r="K121">
        <v>85.42</v>
      </c>
      <c r="M121">
        <f t="shared" si="45"/>
        <v>85.42</v>
      </c>
      <c r="N121">
        <f t="shared" si="46"/>
        <v>14.579999999999998</v>
      </c>
    </row>
    <row r="122" spans="1:14" ht="15" customHeight="1" x14ac:dyDescent="0.25">
      <c r="A122">
        <v>121</v>
      </c>
      <c r="B122" s="1">
        <v>43839</v>
      </c>
      <c r="C122" t="s">
        <v>8</v>
      </c>
      <c r="D122" t="s">
        <v>56</v>
      </c>
      <c r="F122" t="s">
        <v>267</v>
      </c>
      <c r="G122">
        <v>5</v>
      </c>
      <c r="H122">
        <v>160</v>
      </c>
      <c r="I122">
        <f t="shared" si="24"/>
        <v>800</v>
      </c>
      <c r="J122" t="s">
        <v>163</v>
      </c>
      <c r="K122">
        <v>130</v>
      </c>
      <c r="M122">
        <f t="shared" ref="M122:M124" si="47">+K122*G122</f>
        <v>650</v>
      </c>
      <c r="N122">
        <f t="shared" ref="N122:N124" si="48">+I122-M122</f>
        <v>150</v>
      </c>
    </row>
    <row r="123" spans="1:14" ht="15" customHeight="1" x14ac:dyDescent="0.25">
      <c r="A123">
        <v>122</v>
      </c>
      <c r="B123" s="1">
        <v>43839</v>
      </c>
      <c r="C123" t="s">
        <v>8</v>
      </c>
      <c r="D123" t="s">
        <v>15</v>
      </c>
      <c r="F123" t="s">
        <v>28</v>
      </c>
      <c r="G123">
        <v>1</v>
      </c>
      <c r="H123">
        <v>230</v>
      </c>
      <c r="I123">
        <f t="shared" si="24"/>
        <v>230</v>
      </c>
      <c r="J123" t="s">
        <v>163</v>
      </c>
      <c r="K123">
        <v>182</v>
      </c>
      <c r="M123">
        <f t="shared" si="47"/>
        <v>182</v>
      </c>
      <c r="N123">
        <f t="shared" si="48"/>
        <v>48</v>
      </c>
    </row>
    <row r="124" spans="1:14" ht="15" customHeight="1" x14ac:dyDescent="0.25">
      <c r="A124">
        <v>123</v>
      </c>
      <c r="B124" s="1">
        <v>43839</v>
      </c>
      <c r="C124" t="s">
        <v>8</v>
      </c>
      <c r="D124" t="s">
        <v>15</v>
      </c>
      <c r="F124" t="s">
        <v>63</v>
      </c>
      <c r="G124">
        <v>2</v>
      </c>
      <c r="H124">
        <v>240</v>
      </c>
      <c r="I124">
        <f t="shared" si="24"/>
        <v>480</v>
      </c>
      <c r="J124" t="s">
        <v>163</v>
      </c>
      <c r="K124">
        <v>204</v>
      </c>
      <c r="M124">
        <f t="shared" si="47"/>
        <v>408</v>
      </c>
      <c r="N124">
        <f t="shared" si="48"/>
        <v>72</v>
      </c>
    </row>
    <row r="125" spans="1:14" ht="15" customHeight="1" x14ac:dyDescent="0.25">
      <c r="A125">
        <v>124</v>
      </c>
      <c r="B125" s="1">
        <v>43839</v>
      </c>
      <c r="C125" t="s">
        <v>8</v>
      </c>
      <c r="D125" t="s">
        <v>56</v>
      </c>
      <c r="F125" t="s">
        <v>38</v>
      </c>
      <c r="G125">
        <v>2</v>
      </c>
      <c r="H125">
        <v>110</v>
      </c>
      <c r="I125">
        <f t="shared" si="24"/>
        <v>220</v>
      </c>
      <c r="J125" t="s">
        <v>164</v>
      </c>
      <c r="K125">
        <v>70</v>
      </c>
      <c r="M125">
        <f t="shared" ref="M125:M130" si="49">+K125*G125</f>
        <v>140</v>
      </c>
      <c r="N125">
        <f t="shared" ref="N125:N130" si="50">+I125-M125</f>
        <v>80</v>
      </c>
    </row>
    <row r="126" spans="1:14" ht="15" customHeight="1" x14ac:dyDescent="0.25">
      <c r="A126">
        <v>125</v>
      </c>
      <c r="B126" s="1">
        <v>43839</v>
      </c>
      <c r="C126" t="s">
        <v>8</v>
      </c>
      <c r="D126" t="s">
        <v>15</v>
      </c>
      <c r="F126" t="s">
        <v>31</v>
      </c>
      <c r="G126">
        <f>2/9</f>
        <v>0.22222222222222221</v>
      </c>
      <c r="H126">
        <v>280</v>
      </c>
      <c r="I126">
        <f t="shared" si="24"/>
        <v>62.222222222222221</v>
      </c>
      <c r="J126" t="s">
        <v>163</v>
      </c>
      <c r="K126">
        <v>214</v>
      </c>
      <c r="M126">
        <f t="shared" si="49"/>
        <v>47.55555555555555</v>
      </c>
      <c r="N126">
        <f t="shared" si="50"/>
        <v>14.666666666666671</v>
      </c>
    </row>
    <row r="127" spans="1:14" ht="15" customHeight="1" x14ac:dyDescent="0.25">
      <c r="A127">
        <v>126</v>
      </c>
      <c r="B127" s="1">
        <v>43839</v>
      </c>
      <c r="C127" t="s">
        <v>8</v>
      </c>
      <c r="D127" t="s">
        <v>55</v>
      </c>
      <c r="F127" t="s">
        <v>94</v>
      </c>
      <c r="G127">
        <v>10</v>
      </c>
      <c r="H127">
        <v>290</v>
      </c>
      <c r="I127">
        <f t="shared" si="24"/>
        <v>2900</v>
      </c>
      <c r="J127" t="s">
        <v>13</v>
      </c>
      <c r="K127">
        <v>271</v>
      </c>
      <c r="M127">
        <f t="shared" si="49"/>
        <v>2710</v>
      </c>
      <c r="N127">
        <f t="shared" si="50"/>
        <v>190</v>
      </c>
    </row>
    <row r="128" spans="1:14" ht="15" customHeight="1" x14ac:dyDescent="0.25">
      <c r="A128">
        <v>127</v>
      </c>
      <c r="B128" s="1">
        <v>43839</v>
      </c>
      <c r="C128" t="s">
        <v>8</v>
      </c>
      <c r="D128" t="s">
        <v>15</v>
      </c>
      <c r="F128" t="s">
        <v>95</v>
      </c>
      <c r="G128">
        <v>2</v>
      </c>
      <c r="H128">
        <v>270</v>
      </c>
      <c r="I128">
        <f t="shared" si="24"/>
        <v>540</v>
      </c>
      <c r="J128" t="s">
        <v>163</v>
      </c>
      <c r="K128">
        <v>214</v>
      </c>
      <c r="M128">
        <f t="shared" si="49"/>
        <v>428</v>
      </c>
      <c r="N128">
        <f t="shared" si="50"/>
        <v>112</v>
      </c>
    </row>
    <row r="129" spans="1:14" ht="15" customHeight="1" x14ac:dyDescent="0.25">
      <c r="A129">
        <v>128</v>
      </c>
      <c r="B129" s="1">
        <v>43839</v>
      </c>
      <c r="C129" t="s">
        <v>8</v>
      </c>
      <c r="D129" t="s">
        <v>56</v>
      </c>
      <c r="F129" t="s">
        <v>38</v>
      </c>
      <c r="G129">
        <v>2</v>
      </c>
      <c r="H129">
        <v>100</v>
      </c>
      <c r="I129">
        <f t="shared" si="24"/>
        <v>200</v>
      </c>
      <c r="J129" t="s">
        <v>164</v>
      </c>
      <c r="K129">
        <v>70</v>
      </c>
      <c r="M129">
        <f t="shared" si="49"/>
        <v>140</v>
      </c>
      <c r="N129">
        <f t="shared" si="50"/>
        <v>60</v>
      </c>
    </row>
    <row r="130" spans="1:14" ht="15" customHeight="1" x14ac:dyDescent="0.25">
      <c r="A130">
        <v>129</v>
      </c>
      <c r="B130" s="1">
        <v>43839</v>
      </c>
      <c r="C130" t="s">
        <v>8</v>
      </c>
      <c r="D130" t="s">
        <v>25</v>
      </c>
      <c r="F130" t="s">
        <v>61</v>
      </c>
      <c r="G130">
        <v>1</v>
      </c>
      <c r="H130">
        <v>60</v>
      </c>
      <c r="I130">
        <f t="shared" si="24"/>
        <v>60</v>
      </c>
      <c r="J130" t="s">
        <v>165</v>
      </c>
      <c r="K130">
        <f>380/12</f>
        <v>31.666666666666668</v>
      </c>
      <c r="M130">
        <f t="shared" si="49"/>
        <v>31.666666666666668</v>
      </c>
      <c r="N130">
        <f t="shared" si="50"/>
        <v>28.333333333333332</v>
      </c>
    </row>
    <row r="131" spans="1:14" ht="15" customHeight="1" x14ac:dyDescent="0.25">
      <c r="A131">
        <v>130</v>
      </c>
      <c r="B131" s="1">
        <v>43839</v>
      </c>
      <c r="C131" t="s">
        <v>8</v>
      </c>
      <c r="D131" t="s">
        <v>15</v>
      </c>
      <c r="F131" t="s">
        <v>33</v>
      </c>
      <c r="G131">
        <f>7/9</f>
        <v>0.77777777777777779</v>
      </c>
      <c r="H131">
        <v>230</v>
      </c>
      <c r="I131">
        <f t="shared" ref="I131:I194" si="51">+G131*H131</f>
        <v>178.88888888888889</v>
      </c>
      <c r="J131" t="s">
        <v>163</v>
      </c>
      <c r="K131">
        <v>182</v>
      </c>
      <c r="M131">
        <f t="shared" ref="M131:M132" si="52">+K131*G131</f>
        <v>141.55555555555557</v>
      </c>
      <c r="N131">
        <f t="shared" ref="N131:N132" si="53">+I131-M131</f>
        <v>37.333333333333314</v>
      </c>
    </row>
    <row r="132" spans="1:14" ht="15" customHeight="1" x14ac:dyDescent="0.25">
      <c r="A132">
        <v>131</v>
      </c>
      <c r="B132" s="1">
        <v>43839</v>
      </c>
      <c r="C132" t="s">
        <v>8</v>
      </c>
      <c r="D132" t="s">
        <v>56</v>
      </c>
      <c r="F132" t="s">
        <v>267</v>
      </c>
      <c r="G132">
        <v>4</v>
      </c>
      <c r="H132">
        <v>180</v>
      </c>
      <c r="I132">
        <f t="shared" si="51"/>
        <v>720</v>
      </c>
      <c r="J132" t="s">
        <v>163</v>
      </c>
      <c r="K132">
        <v>130</v>
      </c>
      <c r="M132">
        <f t="shared" si="52"/>
        <v>520</v>
      </c>
      <c r="N132">
        <f t="shared" si="53"/>
        <v>200</v>
      </c>
    </row>
    <row r="133" spans="1:14" ht="15" customHeight="1" x14ac:dyDescent="0.25">
      <c r="A133">
        <v>132</v>
      </c>
      <c r="B133" s="1">
        <v>43839</v>
      </c>
      <c r="C133" t="s">
        <v>8</v>
      </c>
      <c r="D133" t="s">
        <v>56</v>
      </c>
      <c r="F133" t="s">
        <v>38</v>
      </c>
      <c r="G133">
        <v>4</v>
      </c>
      <c r="H133">
        <v>110</v>
      </c>
      <c r="I133">
        <f t="shared" si="51"/>
        <v>440</v>
      </c>
      <c r="J133" t="s">
        <v>164</v>
      </c>
      <c r="K133">
        <v>70</v>
      </c>
      <c r="M133">
        <f t="shared" ref="M133:M140" si="54">+K133*G133</f>
        <v>280</v>
      </c>
      <c r="N133">
        <f t="shared" ref="N133:N140" si="55">+I133-M133</f>
        <v>160</v>
      </c>
    </row>
    <row r="134" spans="1:14" ht="15" customHeight="1" x14ac:dyDescent="0.25">
      <c r="A134">
        <v>133</v>
      </c>
      <c r="B134" s="1">
        <v>43839</v>
      </c>
      <c r="C134" t="s">
        <v>8</v>
      </c>
      <c r="D134" t="s">
        <v>55</v>
      </c>
      <c r="F134" t="s">
        <v>89</v>
      </c>
      <c r="G134">
        <f>9/17</f>
        <v>0.52941176470588236</v>
      </c>
      <c r="H134">
        <v>290</v>
      </c>
      <c r="I134">
        <f t="shared" si="51"/>
        <v>153.52941176470588</v>
      </c>
      <c r="J134" t="s">
        <v>13</v>
      </c>
      <c r="K134">
        <v>271</v>
      </c>
      <c r="M134">
        <f t="shared" si="54"/>
        <v>143.47058823529412</v>
      </c>
      <c r="N134">
        <f t="shared" si="55"/>
        <v>10.058823529411768</v>
      </c>
    </row>
    <row r="135" spans="1:14" ht="15" customHeight="1" x14ac:dyDescent="0.25">
      <c r="A135">
        <v>134</v>
      </c>
      <c r="B135" s="1">
        <v>43839</v>
      </c>
      <c r="C135" t="s">
        <v>8</v>
      </c>
      <c r="D135" t="s">
        <v>93</v>
      </c>
      <c r="F135" t="s">
        <v>58</v>
      </c>
      <c r="G135">
        <v>1</v>
      </c>
      <c r="H135">
        <v>60</v>
      </c>
      <c r="I135">
        <f t="shared" si="51"/>
        <v>60</v>
      </c>
      <c r="J135" t="s">
        <v>165</v>
      </c>
      <c r="K135">
        <f>380/12</f>
        <v>31.666666666666668</v>
      </c>
      <c r="M135">
        <f t="shared" si="54"/>
        <v>31.666666666666668</v>
      </c>
      <c r="N135">
        <f t="shared" si="55"/>
        <v>28.333333333333332</v>
      </c>
    </row>
    <row r="136" spans="1:14" ht="15" customHeight="1" x14ac:dyDescent="0.25">
      <c r="A136">
        <v>135</v>
      </c>
      <c r="B136" s="1">
        <v>43839</v>
      </c>
      <c r="C136" t="s">
        <v>8</v>
      </c>
      <c r="D136" t="s">
        <v>56</v>
      </c>
      <c r="F136" t="s">
        <v>38</v>
      </c>
      <c r="G136">
        <v>2</v>
      </c>
      <c r="H136">
        <v>110</v>
      </c>
      <c r="I136">
        <f t="shared" si="51"/>
        <v>220</v>
      </c>
      <c r="J136" t="s">
        <v>164</v>
      </c>
      <c r="K136">
        <v>70</v>
      </c>
      <c r="M136">
        <f t="shared" si="54"/>
        <v>140</v>
      </c>
      <c r="N136">
        <f t="shared" si="55"/>
        <v>80</v>
      </c>
    </row>
    <row r="137" spans="1:14" ht="15" customHeight="1" x14ac:dyDescent="0.25">
      <c r="A137">
        <v>136</v>
      </c>
      <c r="B137" s="1">
        <v>43839</v>
      </c>
      <c r="C137" t="s">
        <v>8</v>
      </c>
      <c r="D137" t="s">
        <v>15</v>
      </c>
      <c r="F137" t="s">
        <v>80</v>
      </c>
      <c r="G137">
        <v>4.62</v>
      </c>
      <c r="H137">
        <v>240</v>
      </c>
      <c r="I137">
        <f t="shared" si="51"/>
        <v>1108.8</v>
      </c>
      <c r="J137" t="s">
        <v>163</v>
      </c>
      <c r="K137">
        <v>212</v>
      </c>
      <c r="M137">
        <f t="shared" si="54"/>
        <v>979.44</v>
      </c>
      <c r="N137">
        <f t="shared" si="55"/>
        <v>129.3599999999999</v>
      </c>
    </row>
    <row r="138" spans="1:14" ht="15" customHeight="1" x14ac:dyDescent="0.25">
      <c r="A138">
        <v>137</v>
      </c>
      <c r="B138" s="1">
        <v>43840</v>
      </c>
      <c r="C138" t="s">
        <v>8</v>
      </c>
      <c r="D138" t="s">
        <v>15</v>
      </c>
      <c r="F138" t="s">
        <v>19</v>
      </c>
      <c r="G138">
        <v>1</v>
      </c>
      <c r="H138">
        <v>290</v>
      </c>
      <c r="I138">
        <f t="shared" si="51"/>
        <v>290</v>
      </c>
      <c r="J138" t="s">
        <v>13</v>
      </c>
      <c r="K138">
        <v>271</v>
      </c>
      <c r="M138">
        <f t="shared" si="54"/>
        <v>271</v>
      </c>
      <c r="N138">
        <f t="shared" si="55"/>
        <v>19</v>
      </c>
    </row>
    <row r="139" spans="1:14" ht="15" customHeight="1" x14ac:dyDescent="0.25">
      <c r="A139">
        <v>138</v>
      </c>
      <c r="B139" s="1">
        <v>43840</v>
      </c>
      <c r="C139" t="s">
        <v>8</v>
      </c>
      <c r="D139" t="s">
        <v>56</v>
      </c>
      <c r="F139" t="s">
        <v>38</v>
      </c>
      <c r="G139">
        <v>1</v>
      </c>
      <c r="H139">
        <v>110</v>
      </c>
      <c r="I139">
        <f t="shared" si="51"/>
        <v>110</v>
      </c>
      <c r="J139" t="s">
        <v>164</v>
      </c>
      <c r="K139">
        <v>70</v>
      </c>
      <c r="M139">
        <f t="shared" si="54"/>
        <v>70</v>
      </c>
      <c r="N139">
        <f t="shared" si="55"/>
        <v>40</v>
      </c>
    </row>
    <row r="140" spans="1:14" ht="15" customHeight="1" x14ac:dyDescent="0.25">
      <c r="A140">
        <v>139</v>
      </c>
      <c r="B140" s="1">
        <v>43840</v>
      </c>
      <c r="C140" t="s">
        <v>8</v>
      </c>
      <c r="D140" t="s">
        <v>15</v>
      </c>
      <c r="F140" t="s">
        <v>32</v>
      </c>
      <c r="G140">
        <v>1.5</v>
      </c>
      <c r="H140">
        <v>280</v>
      </c>
      <c r="I140">
        <f t="shared" si="51"/>
        <v>420</v>
      </c>
      <c r="J140" t="s">
        <v>163</v>
      </c>
      <c r="K140">
        <v>214</v>
      </c>
      <c r="M140">
        <f t="shared" si="54"/>
        <v>321</v>
      </c>
      <c r="N140">
        <f t="shared" si="55"/>
        <v>99</v>
      </c>
    </row>
    <row r="141" spans="1:14" ht="15" customHeight="1" x14ac:dyDescent="0.25">
      <c r="A141">
        <v>140</v>
      </c>
      <c r="B141" s="1">
        <v>43840</v>
      </c>
      <c r="C141" t="s">
        <v>8</v>
      </c>
      <c r="D141" t="s">
        <v>15</v>
      </c>
      <c r="F141" t="s">
        <v>45</v>
      </c>
      <c r="G141">
        <v>6</v>
      </c>
      <c r="H141">
        <v>290</v>
      </c>
      <c r="I141">
        <f t="shared" si="51"/>
        <v>1740</v>
      </c>
      <c r="J141" t="s">
        <v>13</v>
      </c>
      <c r="K141">
        <v>271</v>
      </c>
      <c r="M141">
        <f t="shared" ref="M141:M150" si="56">+K141*G141</f>
        <v>1626</v>
      </c>
      <c r="N141">
        <f t="shared" ref="N141:N150" si="57">+I141-M141</f>
        <v>114</v>
      </c>
    </row>
    <row r="142" spans="1:14" ht="15" customHeight="1" x14ac:dyDescent="0.25">
      <c r="A142">
        <v>141</v>
      </c>
      <c r="B142" s="1">
        <v>43840</v>
      </c>
      <c r="C142" t="s">
        <v>8</v>
      </c>
      <c r="D142" t="s">
        <v>55</v>
      </c>
      <c r="F142" t="s">
        <v>39</v>
      </c>
      <c r="G142">
        <v>1</v>
      </c>
      <c r="H142">
        <v>290</v>
      </c>
      <c r="I142">
        <f t="shared" si="51"/>
        <v>290</v>
      </c>
      <c r="J142" t="s">
        <v>13</v>
      </c>
      <c r="K142">
        <v>271</v>
      </c>
      <c r="M142">
        <f t="shared" si="56"/>
        <v>271</v>
      </c>
      <c r="N142">
        <f t="shared" si="57"/>
        <v>19</v>
      </c>
    </row>
    <row r="143" spans="1:14" ht="15" customHeight="1" x14ac:dyDescent="0.25">
      <c r="A143">
        <v>142</v>
      </c>
      <c r="B143" s="1">
        <v>43840</v>
      </c>
      <c r="C143" t="s">
        <v>8</v>
      </c>
      <c r="D143" t="s">
        <v>15</v>
      </c>
      <c r="F143" t="s">
        <v>19</v>
      </c>
      <c r="G143">
        <v>6</v>
      </c>
      <c r="H143">
        <v>290</v>
      </c>
      <c r="I143">
        <f t="shared" si="51"/>
        <v>1740</v>
      </c>
      <c r="J143" t="s">
        <v>13</v>
      </c>
      <c r="K143">
        <v>271</v>
      </c>
      <c r="M143">
        <f t="shared" si="56"/>
        <v>1626</v>
      </c>
      <c r="N143">
        <f t="shared" si="57"/>
        <v>114</v>
      </c>
    </row>
    <row r="144" spans="1:14" ht="15" customHeight="1" x14ac:dyDescent="0.25">
      <c r="A144">
        <v>143</v>
      </c>
      <c r="B144" s="1">
        <v>43840</v>
      </c>
      <c r="C144" t="s">
        <v>8</v>
      </c>
      <c r="D144" t="s">
        <v>15</v>
      </c>
      <c r="F144" t="s">
        <v>54</v>
      </c>
      <c r="G144">
        <v>1.1499999999999999</v>
      </c>
      <c r="H144">
        <v>240</v>
      </c>
      <c r="I144">
        <f t="shared" si="51"/>
        <v>276</v>
      </c>
      <c r="J144" t="s">
        <v>163</v>
      </c>
      <c r="K144">
        <v>212</v>
      </c>
      <c r="M144">
        <f t="shared" si="56"/>
        <v>243.79999999999998</v>
      </c>
      <c r="N144">
        <f t="shared" si="57"/>
        <v>32.200000000000017</v>
      </c>
    </row>
    <row r="145" spans="1:14" ht="15" customHeight="1" x14ac:dyDescent="0.25">
      <c r="A145">
        <v>144</v>
      </c>
      <c r="B145" s="1">
        <v>43840</v>
      </c>
      <c r="C145" t="s">
        <v>8</v>
      </c>
      <c r="D145" t="s">
        <v>15</v>
      </c>
      <c r="F145" t="s">
        <v>80</v>
      </c>
      <c r="G145">
        <v>6</v>
      </c>
      <c r="H145">
        <v>240</v>
      </c>
      <c r="I145">
        <f t="shared" si="51"/>
        <v>1440</v>
      </c>
      <c r="J145" t="s">
        <v>163</v>
      </c>
      <c r="K145">
        <v>212</v>
      </c>
      <c r="M145">
        <f t="shared" si="56"/>
        <v>1272</v>
      </c>
      <c r="N145">
        <f t="shared" si="57"/>
        <v>168</v>
      </c>
    </row>
    <row r="146" spans="1:14" ht="15" customHeight="1" x14ac:dyDescent="0.25">
      <c r="A146">
        <v>145</v>
      </c>
      <c r="B146" s="1">
        <v>43840</v>
      </c>
      <c r="C146" t="s">
        <v>8</v>
      </c>
      <c r="D146" t="s">
        <v>56</v>
      </c>
      <c r="F146" t="s">
        <v>267</v>
      </c>
      <c r="G146">
        <v>2</v>
      </c>
      <c r="H146">
        <v>180</v>
      </c>
      <c r="I146">
        <f t="shared" si="51"/>
        <v>360</v>
      </c>
      <c r="J146" t="s">
        <v>163</v>
      </c>
      <c r="K146">
        <v>130</v>
      </c>
      <c r="M146">
        <f t="shared" si="56"/>
        <v>260</v>
      </c>
      <c r="N146">
        <f t="shared" si="57"/>
        <v>100</v>
      </c>
    </row>
    <row r="147" spans="1:14" ht="15" customHeight="1" x14ac:dyDescent="0.25">
      <c r="A147">
        <v>146</v>
      </c>
      <c r="B147" s="1">
        <v>43840</v>
      </c>
      <c r="C147" t="s">
        <v>8</v>
      </c>
      <c r="D147" t="s">
        <v>15</v>
      </c>
      <c r="F147" t="s">
        <v>96</v>
      </c>
      <c r="G147">
        <v>36</v>
      </c>
      <c r="H147">
        <v>230</v>
      </c>
      <c r="I147">
        <f t="shared" si="51"/>
        <v>8280</v>
      </c>
      <c r="J147" t="s">
        <v>163</v>
      </c>
      <c r="K147">
        <v>182</v>
      </c>
      <c r="M147">
        <f t="shared" si="56"/>
        <v>6552</v>
      </c>
      <c r="N147">
        <f t="shared" si="57"/>
        <v>1728</v>
      </c>
    </row>
    <row r="148" spans="1:14" ht="15" customHeight="1" x14ac:dyDescent="0.25">
      <c r="A148">
        <v>147</v>
      </c>
      <c r="B148" s="1">
        <v>43840</v>
      </c>
      <c r="C148" t="s">
        <v>8</v>
      </c>
      <c r="D148" t="s">
        <v>15</v>
      </c>
      <c r="F148" t="s">
        <v>80</v>
      </c>
      <c r="G148">
        <v>70</v>
      </c>
      <c r="H148">
        <v>240</v>
      </c>
      <c r="I148">
        <f t="shared" si="51"/>
        <v>16800</v>
      </c>
      <c r="J148" t="s">
        <v>163</v>
      </c>
      <c r="K148">
        <v>212</v>
      </c>
      <c r="M148">
        <f t="shared" si="56"/>
        <v>14840</v>
      </c>
      <c r="N148">
        <f t="shared" si="57"/>
        <v>1960</v>
      </c>
    </row>
    <row r="149" spans="1:14" ht="15" customHeight="1" x14ac:dyDescent="0.25">
      <c r="A149">
        <v>148</v>
      </c>
      <c r="B149" s="1">
        <v>43840</v>
      </c>
      <c r="C149" t="s">
        <v>8</v>
      </c>
      <c r="D149" t="s">
        <v>15</v>
      </c>
      <c r="F149" t="s">
        <v>20</v>
      </c>
      <c r="G149">
        <f>3/5</f>
        <v>0.6</v>
      </c>
      <c r="H149">
        <v>250</v>
      </c>
      <c r="I149">
        <f t="shared" si="51"/>
        <v>150</v>
      </c>
      <c r="J149" t="s">
        <v>163</v>
      </c>
      <c r="K149">
        <v>216</v>
      </c>
      <c r="M149">
        <f t="shared" si="56"/>
        <v>129.6</v>
      </c>
      <c r="N149">
        <f t="shared" si="57"/>
        <v>20.400000000000006</v>
      </c>
    </row>
    <row r="150" spans="1:14" ht="15" customHeight="1" x14ac:dyDescent="0.25">
      <c r="A150">
        <v>149</v>
      </c>
      <c r="B150" s="1">
        <v>43840</v>
      </c>
      <c r="C150" t="s">
        <v>8</v>
      </c>
      <c r="D150" t="s">
        <v>15</v>
      </c>
      <c r="F150" t="s">
        <v>28</v>
      </c>
      <c r="G150">
        <f>5/9</f>
        <v>0.55555555555555558</v>
      </c>
      <c r="H150">
        <v>230</v>
      </c>
      <c r="I150">
        <f t="shared" si="51"/>
        <v>127.77777777777779</v>
      </c>
      <c r="J150" t="s">
        <v>163</v>
      </c>
      <c r="K150">
        <v>182</v>
      </c>
      <c r="M150">
        <f t="shared" si="56"/>
        <v>101.11111111111111</v>
      </c>
      <c r="N150">
        <f t="shared" si="57"/>
        <v>26.666666666666671</v>
      </c>
    </row>
    <row r="151" spans="1:14" ht="15" customHeight="1" x14ac:dyDescent="0.25">
      <c r="A151">
        <v>150</v>
      </c>
      <c r="B151" s="1">
        <v>43840</v>
      </c>
      <c r="C151" t="s">
        <v>8</v>
      </c>
      <c r="D151" t="s">
        <v>55</v>
      </c>
      <c r="F151" t="s">
        <v>97</v>
      </c>
      <c r="G151">
        <v>3</v>
      </c>
      <c r="H151">
        <v>280</v>
      </c>
      <c r="I151">
        <f t="shared" si="51"/>
        <v>840</v>
      </c>
      <c r="J151" t="s">
        <v>13</v>
      </c>
      <c r="K151">
        <v>226</v>
      </c>
      <c r="M151">
        <f t="shared" ref="M151:M153" si="58">+K151*G151</f>
        <v>678</v>
      </c>
      <c r="N151">
        <f t="shared" ref="N151:N153" si="59">+I151-M151</f>
        <v>162</v>
      </c>
    </row>
    <row r="152" spans="1:14" ht="15" customHeight="1" x14ac:dyDescent="0.25">
      <c r="A152">
        <v>151</v>
      </c>
      <c r="B152" s="1">
        <v>43840</v>
      </c>
      <c r="C152" t="s">
        <v>8</v>
      </c>
      <c r="D152" t="s">
        <v>55</v>
      </c>
      <c r="F152" t="s">
        <v>22</v>
      </c>
      <c r="G152">
        <f>7/17</f>
        <v>0.41176470588235292</v>
      </c>
      <c r="H152">
        <v>290</v>
      </c>
      <c r="I152">
        <f t="shared" si="51"/>
        <v>119.41176470588235</v>
      </c>
      <c r="J152" t="s">
        <v>13</v>
      </c>
      <c r="K152">
        <v>271</v>
      </c>
      <c r="M152">
        <f t="shared" si="58"/>
        <v>111.58823529411764</v>
      </c>
      <c r="N152">
        <f t="shared" si="59"/>
        <v>7.8235294117647101</v>
      </c>
    </row>
    <row r="153" spans="1:14" ht="15" customHeight="1" x14ac:dyDescent="0.25">
      <c r="A153">
        <v>152</v>
      </c>
      <c r="B153" s="1">
        <v>43840</v>
      </c>
      <c r="C153" t="s">
        <v>8</v>
      </c>
      <c r="D153" t="s">
        <v>55</v>
      </c>
      <c r="F153" t="s">
        <v>89</v>
      </c>
      <c r="G153">
        <f>2/17</f>
        <v>0.11764705882352941</v>
      </c>
      <c r="H153">
        <v>290</v>
      </c>
      <c r="I153">
        <f t="shared" si="51"/>
        <v>34.117647058823529</v>
      </c>
      <c r="J153" t="s">
        <v>13</v>
      </c>
      <c r="K153">
        <v>271</v>
      </c>
      <c r="M153">
        <f t="shared" si="58"/>
        <v>31.882352941176471</v>
      </c>
      <c r="N153">
        <f t="shared" si="59"/>
        <v>2.235294117647058</v>
      </c>
    </row>
    <row r="154" spans="1:14" ht="15" customHeight="1" x14ac:dyDescent="0.25">
      <c r="A154">
        <v>153</v>
      </c>
      <c r="B154" s="1">
        <v>43840</v>
      </c>
      <c r="C154" t="s">
        <v>8</v>
      </c>
      <c r="D154" t="s">
        <v>15</v>
      </c>
      <c r="F154" t="s">
        <v>20</v>
      </c>
      <c r="G154">
        <f>3/5</f>
        <v>0.6</v>
      </c>
      <c r="H154">
        <v>250</v>
      </c>
      <c r="I154">
        <f t="shared" si="51"/>
        <v>150</v>
      </c>
      <c r="J154" t="s">
        <v>163</v>
      </c>
      <c r="K154">
        <v>216</v>
      </c>
      <c r="M154">
        <f>+K154*G154</f>
        <v>129.6</v>
      </c>
      <c r="N154">
        <f>+I154-M154</f>
        <v>20.400000000000006</v>
      </c>
    </row>
    <row r="155" spans="1:14" ht="15" customHeight="1" x14ac:dyDescent="0.25">
      <c r="A155">
        <v>154</v>
      </c>
      <c r="B155" s="1">
        <v>43840</v>
      </c>
      <c r="C155" t="s">
        <v>8</v>
      </c>
      <c r="D155" t="s">
        <v>26</v>
      </c>
      <c r="F155" t="s">
        <v>47</v>
      </c>
      <c r="G155">
        <v>30</v>
      </c>
      <c r="H155">
        <v>380</v>
      </c>
      <c r="I155">
        <f t="shared" si="51"/>
        <v>11400</v>
      </c>
      <c r="J155" t="s">
        <v>99</v>
      </c>
      <c r="K155">
        <v>330</v>
      </c>
      <c r="M155">
        <f>+K155*G155</f>
        <v>9900</v>
      </c>
      <c r="N155">
        <f>+I155-M155</f>
        <v>1500</v>
      </c>
    </row>
    <row r="156" spans="1:14" ht="15" customHeight="1" x14ac:dyDescent="0.25">
      <c r="A156">
        <v>155</v>
      </c>
      <c r="B156" s="1">
        <v>43841</v>
      </c>
      <c r="C156" t="s">
        <v>8</v>
      </c>
      <c r="D156" t="s">
        <v>15</v>
      </c>
      <c r="F156" t="s">
        <v>20</v>
      </c>
      <c r="G156">
        <v>25.58</v>
      </c>
      <c r="H156">
        <v>240</v>
      </c>
      <c r="I156">
        <f t="shared" si="51"/>
        <v>6139.2</v>
      </c>
      <c r="J156" t="s">
        <v>163</v>
      </c>
      <c r="K156">
        <v>216</v>
      </c>
      <c r="M156">
        <f t="shared" ref="M156:M157" si="60">+K156*G156</f>
        <v>5525.28</v>
      </c>
      <c r="N156">
        <f t="shared" ref="N156:N157" si="61">+I156-M156</f>
        <v>613.92000000000007</v>
      </c>
    </row>
    <row r="157" spans="1:14" ht="15" customHeight="1" x14ac:dyDescent="0.25">
      <c r="A157">
        <v>156</v>
      </c>
      <c r="B157" s="1">
        <v>43841</v>
      </c>
      <c r="C157" t="s">
        <v>8</v>
      </c>
      <c r="D157" t="s">
        <v>15</v>
      </c>
      <c r="F157" t="s">
        <v>96</v>
      </c>
      <c r="G157">
        <v>18</v>
      </c>
      <c r="H157">
        <v>230</v>
      </c>
      <c r="I157">
        <f t="shared" si="51"/>
        <v>4140</v>
      </c>
      <c r="J157" t="s">
        <v>163</v>
      </c>
      <c r="K157">
        <v>182</v>
      </c>
      <c r="M157">
        <f t="shared" si="60"/>
        <v>3276</v>
      </c>
      <c r="N157">
        <f t="shared" si="61"/>
        <v>864</v>
      </c>
    </row>
    <row r="158" spans="1:14" ht="15" customHeight="1" x14ac:dyDescent="0.25">
      <c r="A158">
        <v>157</v>
      </c>
      <c r="B158" s="1">
        <v>43841</v>
      </c>
      <c r="C158" t="s">
        <v>8</v>
      </c>
      <c r="D158" t="s">
        <v>25</v>
      </c>
      <c r="F158" t="s">
        <v>57</v>
      </c>
      <c r="G158">
        <v>1</v>
      </c>
      <c r="H158">
        <v>60</v>
      </c>
      <c r="I158">
        <f t="shared" si="51"/>
        <v>60</v>
      </c>
      <c r="J158" t="s">
        <v>165</v>
      </c>
      <c r="K158">
        <f>380/12</f>
        <v>31.666666666666668</v>
      </c>
      <c r="M158">
        <f>+K158*G158</f>
        <v>31.666666666666668</v>
      </c>
      <c r="N158">
        <f>+I158-M158</f>
        <v>28.333333333333332</v>
      </c>
    </row>
    <row r="159" spans="1:14" ht="15" customHeight="1" x14ac:dyDescent="0.25">
      <c r="A159">
        <v>158</v>
      </c>
      <c r="B159" s="1">
        <v>43841</v>
      </c>
      <c r="C159" t="s">
        <v>8</v>
      </c>
      <c r="D159" t="s">
        <v>55</v>
      </c>
      <c r="F159" t="s">
        <v>89</v>
      </c>
      <c r="G159">
        <f>8/17</f>
        <v>0.47058823529411764</v>
      </c>
      <c r="H159">
        <v>290</v>
      </c>
      <c r="I159">
        <f t="shared" si="51"/>
        <v>136.47058823529412</v>
      </c>
      <c r="J159" t="s">
        <v>13</v>
      </c>
      <c r="K159">
        <v>271</v>
      </c>
      <c r="M159">
        <f>+K159*G159</f>
        <v>127.52941176470588</v>
      </c>
      <c r="N159">
        <f>+I159-M159</f>
        <v>8.941176470588232</v>
      </c>
    </row>
    <row r="160" spans="1:14" ht="15" customHeight="1" x14ac:dyDescent="0.25">
      <c r="A160">
        <v>159</v>
      </c>
      <c r="B160" s="1">
        <v>43841</v>
      </c>
      <c r="C160" t="s">
        <v>8</v>
      </c>
      <c r="D160" t="s">
        <v>92</v>
      </c>
      <c r="F160" t="s">
        <v>98</v>
      </c>
      <c r="G160">
        <v>1</v>
      </c>
      <c r="H160">
        <v>150</v>
      </c>
      <c r="I160">
        <f t="shared" si="51"/>
        <v>150</v>
      </c>
      <c r="J160" t="s">
        <v>166</v>
      </c>
      <c r="K160">
        <v>89</v>
      </c>
      <c r="M160">
        <f t="shared" ref="M160" si="62">+K160*G160</f>
        <v>89</v>
      </c>
      <c r="N160">
        <f t="shared" ref="N160" si="63">+I160-M160</f>
        <v>61</v>
      </c>
    </row>
    <row r="161" spans="1:14" ht="15" customHeight="1" x14ac:dyDescent="0.25">
      <c r="A161">
        <v>160</v>
      </c>
      <c r="B161" s="1">
        <v>43841</v>
      </c>
      <c r="C161" t="s">
        <v>8</v>
      </c>
      <c r="D161" t="s">
        <v>25</v>
      </c>
      <c r="F161" t="s">
        <v>57</v>
      </c>
      <c r="G161">
        <v>1</v>
      </c>
      <c r="H161">
        <v>60</v>
      </c>
      <c r="I161">
        <f t="shared" si="51"/>
        <v>60</v>
      </c>
      <c r="J161" t="s">
        <v>165</v>
      </c>
      <c r="K161">
        <f>380/12</f>
        <v>31.666666666666668</v>
      </c>
      <c r="M161">
        <f>+K161*G161</f>
        <v>31.666666666666668</v>
      </c>
      <c r="N161">
        <f>+I161-M161</f>
        <v>28.333333333333332</v>
      </c>
    </row>
    <row r="162" spans="1:14" ht="15" customHeight="1" x14ac:dyDescent="0.25">
      <c r="A162">
        <v>161</v>
      </c>
      <c r="B162" s="1">
        <v>43841</v>
      </c>
      <c r="C162" t="s">
        <v>8</v>
      </c>
      <c r="D162" t="s">
        <v>55</v>
      </c>
      <c r="F162" t="s">
        <v>22</v>
      </c>
      <c r="G162">
        <f>7/17</f>
        <v>0.41176470588235292</v>
      </c>
      <c r="H162">
        <v>290</v>
      </c>
      <c r="I162">
        <f t="shared" si="51"/>
        <v>119.41176470588235</v>
      </c>
      <c r="J162" t="s">
        <v>13</v>
      </c>
      <c r="K162">
        <v>271</v>
      </c>
      <c r="M162">
        <f>+K162*G162</f>
        <v>111.58823529411764</v>
      </c>
      <c r="N162">
        <f>+I162-M162</f>
        <v>7.8235294117647101</v>
      </c>
    </row>
    <row r="163" spans="1:14" ht="15" customHeight="1" x14ac:dyDescent="0.25">
      <c r="A163">
        <v>162</v>
      </c>
      <c r="B163" s="1">
        <v>43841</v>
      </c>
      <c r="C163" t="s">
        <v>8</v>
      </c>
      <c r="D163" t="s">
        <v>15</v>
      </c>
      <c r="F163" t="s">
        <v>54</v>
      </c>
      <c r="G163">
        <v>16</v>
      </c>
      <c r="H163">
        <v>240</v>
      </c>
      <c r="I163">
        <f t="shared" si="51"/>
        <v>3840</v>
      </c>
      <c r="J163" t="s">
        <v>163</v>
      </c>
      <c r="K163">
        <v>212</v>
      </c>
      <c r="M163">
        <f t="shared" ref="M163:M167" si="64">+K163*G163</f>
        <v>3392</v>
      </c>
      <c r="N163">
        <f t="shared" ref="N163:N167" si="65">+I163-M163</f>
        <v>448</v>
      </c>
    </row>
    <row r="164" spans="1:14" ht="15" customHeight="1" x14ac:dyDescent="0.25">
      <c r="A164">
        <v>163</v>
      </c>
      <c r="B164" s="1">
        <v>43843</v>
      </c>
      <c r="C164" t="s">
        <v>8</v>
      </c>
      <c r="D164" t="s">
        <v>15</v>
      </c>
      <c r="F164" t="s">
        <v>80</v>
      </c>
      <c r="G164">
        <v>1.155</v>
      </c>
      <c r="H164">
        <v>240</v>
      </c>
      <c r="I164">
        <f t="shared" si="51"/>
        <v>277.2</v>
      </c>
      <c r="J164" t="s">
        <v>163</v>
      </c>
      <c r="K164">
        <v>212</v>
      </c>
      <c r="M164">
        <f t="shared" si="64"/>
        <v>244.86</v>
      </c>
      <c r="N164">
        <f t="shared" si="65"/>
        <v>32.339999999999975</v>
      </c>
    </row>
    <row r="165" spans="1:14" ht="15" customHeight="1" x14ac:dyDescent="0.25">
      <c r="A165">
        <v>164</v>
      </c>
      <c r="B165" s="1">
        <v>43843</v>
      </c>
      <c r="C165" t="s">
        <v>8</v>
      </c>
      <c r="D165" t="s">
        <v>56</v>
      </c>
      <c r="F165" t="s">
        <v>267</v>
      </c>
      <c r="G165">
        <v>1</v>
      </c>
      <c r="H165">
        <v>180</v>
      </c>
      <c r="I165">
        <f t="shared" si="51"/>
        <v>180</v>
      </c>
      <c r="J165" t="s">
        <v>163</v>
      </c>
      <c r="K165">
        <v>130</v>
      </c>
      <c r="M165">
        <f t="shared" si="64"/>
        <v>130</v>
      </c>
      <c r="N165">
        <f t="shared" si="65"/>
        <v>50</v>
      </c>
    </row>
    <row r="166" spans="1:14" ht="15" customHeight="1" x14ac:dyDescent="0.25">
      <c r="A166">
        <v>165</v>
      </c>
      <c r="B166" s="1">
        <v>43843</v>
      </c>
      <c r="C166" t="s">
        <v>8</v>
      </c>
      <c r="D166" t="s">
        <v>92</v>
      </c>
      <c r="F166" t="s">
        <v>118</v>
      </c>
      <c r="G166">
        <v>1</v>
      </c>
      <c r="H166">
        <v>100</v>
      </c>
      <c r="I166">
        <f t="shared" si="51"/>
        <v>100</v>
      </c>
      <c r="J166" t="s">
        <v>166</v>
      </c>
      <c r="K166">
        <v>65</v>
      </c>
      <c r="M166">
        <f t="shared" si="64"/>
        <v>65</v>
      </c>
      <c r="N166">
        <f>+I166-M166</f>
        <v>35</v>
      </c>
    </row>
    <row r="167" spans="1:14" ht="15" customHeight="1" x14ac:dyDescent="0.25">
      <c r="A167">
        <v>166</v>
      </c>
      <c r="B167" s="1">
        <v>43843</v>
      </c>
      <c r="C167" t="s">
        <v>8</v>
      </c>
      <c r="D167" t="s">
        <v>65</v>
      </c>
      <c r="F167" t="s">
        <v>66</v>
      </c>
      <c r="G167">
        <v>1</v>
      </c>
      <c r="H167">
        <v>120</v>
      </c>
      <c r="I167">
        <f t="shared" si="51"/>
        <v>120</v>
      </c>
      <c r="J167" t="s">
        <v>187</v>
      </c>
      <c r="K167">
        <v>88</v>
      </c>
      <c r="M167">
        <f t="shared" si="64"/>
        <v>88</v>
      </c>
      <c r="N167">
        <f t="shared" si="65"/>
        <v>32</v>
      </c>
    </row>
    <row r="168" spans="1:14" ht="15" customHeight="1" x14ac:dyDescent="0.25">
      <c r="A168">
        <v>167</v>
      </c>
      <c r="B168" s="1">
        <v>43843</v>
      </c>
      <c r="C168" t="s">
        <v>8</v>
      </c>
      <c r="D168" t="s">
        <v>15</v>
      </c>
      <c r="F168" t="s">
        <v>54</v>
      </c>
      <c r="G168">
        <v>9.24</v>
      </c>
      <c r="H168">
        <v>240</v>
      </c>
      <c r="I168">
        <f t="shared" si="51"/>
        <v>2217.6</v>
      </c>
      <c r="J168" t="s">
        <v>163</v>
      </c>
      <c r="K168">
        <v>212</v>
      </c>
      <c r="M168">
        <f t="shared" ref="M168:M169" si="66">+K168*G168</f>
        <v>1958.88</v>
      </c>
      <c r="N168">
        <f t="shared" ref="N168:N169" si="67">+I168-M168</f>
        <v>258.7199999999998</v>
      </c>
    </row>
    <row r="169" spans="1:14" ht="15" customHeight="1" x14ac:dyDescent="0.25">
      <c r="A169">
        <v>168</v>
      </c>
      <c r="B169" s="1">
        <v>43843</v>
      </c>
      <c r="C169" t="s">
        <v>8</v>
      </c>
      <c r="D169" t="s">
        <v>15</v>
      </c>
      <c r="F169" t="s">
        <v>33</v>
      </c>
      <c r="G169">
        <v>8</v>
      </c>
      <c r="H169">
        <v>230</v>
      </c>
      <c r="I169">
        <f t="shared" si="51"/>
        <v>1840</v>
      </c>
      <c r="J169" t="s">
        <v>163</v>
      </c>
      <c r="K169">
        <v>182</v>
      </c>
      <c r="M169">
        <f t="shared" si="66"/>
        <v>1456</v>
      </c>
      <c r="N169">
        <f t="shared" si="67"/>
        <v>384</v>
      </c>
    </row>
    <row r="170" spans="1:14" ht="15" customHeight="1" x14ac:dyDescent="0.25">
      <c r="A170">
        <v>169</v>
      </c>
      <c r="B170" s="1">
        <v>43843</v>
      </c>
      <c r="C170" t="s">
        <v>8</v>
      </c>
      <c r="D170" t="s">
        <v>93</v>
      </c>
      <c r="F170" t="s">
        <v>58</v>
      </c>
      <c r="G170">
        <v>2</v>
      </c>
      <c r="H170">
        <v>60</v>
      </c>
      <c r="I170">
        <f t="shared" si="51"/>
        <v>120</v>
      </c>
      <c r="J170" t="s">
        <v>165</v>
      </c>
      <c r="K170">
        <f>380/12</f>
        <v>31.666666666666668</v>
      </c>
      <c r="M170">
        <f>+K170*G170</f>
        <v>63.333333333333336</v>
      </c>
      <c r="N170">
        <f>+I170-M170</f>
        <v>56.666666666666664</v>
      </c>
    </row>
    <row r="171" spans="1:14" ht="15" customHeight="1" x14ac:dyDescent="0.25">
      <c r="A171">
        <v>170</v>
      </c>
      <c r="B171" s="1">
        <v>43843</v>
      </c>
      <c r="C171" t="s">
        <v>8</v>
      </c>
      <c r="D171" t="s">
        <v>15</v>
      </c>
      <c r="F171" t="s">
        <v>119</v>
      </c>
      <c r="G171">
        <f>4/10</f>
        <v>0.4</v>
      </c>
      <c r="H171">
        <v>290</v>
      </c>
      <c r="I171">
        <f t="shared" si="51"/>
        <v>116</v>
      </c>
      <c r="J171" t="s">
        <v>163</v>
      </c>
      <c r="K171">
        <v>258</v>
      </c>
      <c r="M171">
        <f t="shared" ref="M171:M172" si="68">+K171*G171</f>
        <v>103.2</v>
      </c>
      <c r="N171">
        <f t="shared" ref="N171:N172" si="69">+I171-M171</f>
        <v>12.799999999999997</v>
      </c>
    </row>
    <row r="172" spans="1:14" ht="15" customHeight="1" x14ac:dyDescent="0.25">
      <c r="A172">
        <v>171</v>
      </c>
      <c r="B172" s="1">
        <v>43843</v>
      </c>
      <c r="C172" t="s">
        <v>8</v>
      </c>
      <c r="D172" t="s">
        <v>15</v>
      </c>
      <c r="F172" t="s">
        <v>76</v>
      </c>
      <c r="G172">
        <v>10</v>
      </c>
      <c r="H172">
        <v>230</v>
      </c>
      <c r="I172">
        <f t="shared" si="51"/>
        <v>2300</v>
      </c>
      <c r="J172" t="s">
        <v>163</v>
      </c>
      <c r="K172">
        <v>176</v>
      </c>
      <c r="M172">
        <f t="shared" si="68"/>
        <v>1760</v>
      </c>
      <c r="N172">
        <f t="shared" si="69"/>
        <v>540</v>
      </c>
    </row>
    <row r="173" spans="1:14" ht="15" customHeight="1" x14ac:dyDescent="0.25">
      <c r="A173">
        <v>172</v>
      </c>
      <c r="B173" s="1">
        <v>43843</v>
      </c>
      <c r="C173" t="s">
        <v>8</v>
      </c>
      <c r="D173" t="s">
        <v>15</v>
      </c>
      <c r="F173" t="s">
        <v>45</v>
      </c>
      <c r="G173">
        <v>4.5</v>
      </c>
      <c r="H173">
        <v>290</v>
      </c>
      <c r="I173">
        <f t="shared" si="51"/>
        <v>1305</v>
      </c>
      <c r="J173" t="s">
        <v>13</v>
      </c>
      <c r="K173">
        <v>271</v>
      </c>
      <c r="M173">
        <f>+K173*G173</f>
        <v>1219.5</v>
      </c>
      <c r="N173">
        <f>+I173-M173</f>
        <v>85.5</v>
      </c>
    </row>
    <row r="174" spans="1:14" ht="15" customHeight="1" x14ac:dyDescent="0.25">
      <c r="A174">
        <v>173</v>
      </c>
      <c r="B174" s="1">
        <v>43843</v>
      </c>
      <c r="C174" t="s">
        <v>8</v>
      </c>
      <c r="D174" t="s">
        <v>15</v>
      </c>
      <c r="F174" t="s">
        <v>76</v>
      </c>
      <c r="G174">
        <v>4</v>
      </c>
      <c r="H174">
        <v>230</v>
      </c>
      <c r="I174">
        <f t="shared" si="51"/>
        <v>920</v>
      </c>
      <c r="J174" t="s">
        <v>163</v>
      </c>
      <c r="K174">
        <v>176</v>
      </c>
      <c r="M174">
        <f t="shared" ref="M174:M175" si="70">+K174*G174</f>
        <v>704</v>
      </c>
      <c r="N174">
        <f t="shared" ref="N174:N175" si="71">+I174-M174</f>
        <v>216</v>
      </c>
    </row>
    <row r="175" spans="1:14" ht="15" customHeight="1" x14ac:dyDescent="0.25">
      <c r="A175">
        <v>174</v>
      </c>
      <c r="B175" s="1">
        <v>43843</v>
      </c>
      <c r="C175" t="s">
        <v>8</v>
      </c>
      <c r="D175" t="s">
        <v>15</v>
      </c>
      <c r="F175" t="s">
        <v>80</v>
      </c>
      <c r="G175">
        <v>3.5</v>
      </c>
      <c r="H175">
        <v>240</v>
      </c>
      <c r="I175">
        <f t="shared" si="51"/>
        <v>840</v>
      </c>
      <c r="J175" t="s">
        <v>163</v>
      </c>
      <c r="K175">
        <v>212</v>
      </c>
      <c r="M175">
        <f t="shared" si="70"/>
        <v>742</v>
      </c>
      <c r="N175">
        <f t="shared" si="71"/>
        <v>98</v>
      </c>
    </row>
    <row r="176" spans="1:14" ht="15" customHeight="1" x14ac:dyDescent="0.25">
      <c r="A176">
        <v>175</v>
      </c>
      <c r="B176" s="1">
        <v>43843</v>
      </c>
      <c r="C176" t="s">
        <v>8</v>
      </c>
      <c r="D176" t="s">
        <v>93</v>
      </c>
      <c r="F176" t="s">
        <v>57</v>
      </c>
      <c r="G176">
        <v>1</v>
      </c>
      <c r="H176">
        <v>60</v>
      </c>
      <c r="I176">
        <f t="shared" si="51"/>
        <v>60</v>
      </c>
      <c r="J176" t="s">
        <v>165</v>
      </c>
      <c r="K176">
        <f>380/12</f>
        <v>31.666666666666668</v>
      </c>
      <c r="M176">
        <f>+K176*G176</f>
        <v>31.666666666666668</v>
      </c>
      <c r="N176">
        <f>+I176-M176</f>
        <v>28.333333333333332</v>
      </c>
    </row>
    <row r="177" spans="1:14" ht="15" customHeight="1" x14ac:dyDescent="0.25">
      <c r="A177">
        <v>176</v>
      </c>
      <c r="B177" s="1">
        <v>43843</v>
      </c>
      <c r="C177" t="s">
        <v>8</v>
      </c>
      <c r="D177" t="s">
        <v>15</v>
      </c>
      <c r="F177" t="s">
        <v>28</v>
      </c>
      <c r="G177">
        <v>1</v>
      </c>
      <c r="H177">
        <v>230</v>
      </c>
      <c r="I177">
        <f t="shared" si="51"/>
        <v>230</v>
      </c>
      <c r="J177" t="s">
        <v>163</v>
      </c>
      <c r="K177">
        <v>182</v>
      </c>
      <c r="M177">
        <f>+K177*G177</f>
        <v>182</v>
      </c>
      <c r="N177">
        <f>+I177-M177</f>
        <v>48</v>
      </c>
    </row>
    <row r="178" spans="1:14" ht="15" customHeight="1" x14ac:dyDescent="0.25">
      <c r="A178">
        <v>177</v>
      </c>
      <c r="B178" s="1">
        <v>43843</v>
      </c>
      <c r="C178" t="s">
        <v>8</v>
      </c>
      <c r="D178" t="s">
        <v>55</v>
      </c>
      <c r="F178" t="s">
        <v>22</v>
      </c>
      <c r="G178">
        <v>2</v>
      </c>
      <c r="H178">
        <v>290</v>
      </c>
      <c r="I178">
        <f t="shared" si="51"/>
        <v>580</v>
      </c>
      <c r="J178" t="s">
        <v>13</v>
      </c>
      <c r="K178">
        <v>271</v>
      </c>
      <c r="M178">
        <f>+K178*G178</f>
        <v>542</v>
      </c>
      <c r="N178">
        <f>+I178-M178</f>
        <v>38</v>
      </c>
    </row>
    <row r="179" spans="1:14" ht="15" customHeight="1" x14ac:dyDescent="0.25">
      <c r="A179">
        <v>178</v>
      </c>
      <c r="B179" s="1">
        <v>43843</v>
      </c>
      <c r="C179" t="s">
        <v>8</v>
      </c>
      <c r="D179" t="s">
        <v>15</v>
      </c>
      <c r="F179" t="s">
        <v>28</v>
      </c>
      <c r="G179">
        <f>1/9</f>
        <v>0.1111111111111111</v>
      </c>
      <c r="H179">
        <v>230</v>
      </c>
      <c r="I179">
        <f t="shared" si="51"/>
        <v>25.555555555555554</v>
      </c>
      <c r="J179" t="s">
        <v>163</v>
      </c>
      <c r="K179">
        <v>182</v>
      </c>
      <c r="M179">
        <f t="shared" ref="M179:M180" si="72">+K179*G179</f>
        <v>20.222222222222221</v>
      </c>
      <c r="N179">
        <f t="shared" ref="N179:N180" si="73">+I179-M179</f>
        <v>5.3333333333333321</v>
      </c>
    </row>
    <row r="180" spans="1:14" ht="15" customHeight="1" x14ac:dyDescent="0.25">
      <c r="A180">
        <v>179</v>
      </c>
      <c r="B180" s="1">
        <v>43843</v>
      </c>
      <c r="C180" t="s">
        <v>8</v>
      </c>
      <c r="D180" t="s">
        <v>15</v>
      </c>
      <c r="F180" t="s">
        <v>20</v>
      </c>
      <c r="G180">
        <f>2/5</f>
        <v>0.4</v>
      </c>
      <c r="H180">
        <v>250</v>
      </c>
      <c r="I180">
        <f t="shared" si="51"/>
        <v>100</v>
      </c>
      <c r="J180" t="s">
        <v>163</v>
      </c>
      <c r="K180">
        <v>216</v>
      </c>
      <c r="M180">
        <f t="shared" si="72"/>
        <v>86.4</v>
      </c>
      <c r="N180">
        <f t="shared" si="73"/>
        <v>13.599999999999994</v>
      </c>
    </row>
    <row r="181" spans="1:14" ht="15" customHeight="1" x14ac:dyDescent="0.25">
      <c r="A181">
        <v>180</v>
      </c>
      <c r="B181" s="1">
        <v>43843</v>
      </c>
      <c r="C181" t="s">
        <v>8</v>
      </c>
      <c r="D181" t="s">
        <v>55</v>
      </c>
      <c r="F181" t="s">
        <v>89</v>
      </c>
      <c r="G181">
        <v>1</v>
      </c>
      <c r="H181">
        <v>290</v>
      </c>
      <c r="I181">
        <f t="shared" si="51"/>
        <v>290</v>
      </c>
      <c r="J181" t="s">
        <v>13</v>
      </c>
      <c r="K181">
        <v>271</v>
      </c>
      <c r="M181">
        <f>+K181*G181</f>
        <v>271</v>
      </c>
      <c r="N181">
        <f>+I181-M181</f>
        <v>19</v>
      </c>
    </row>
    <row r="182" spans="1:14" ht="15" customHeight="1" x14ac:dyDescent="0.25">
      <c r="A182">
        <v>181</v>
      </c>
      <c r="B182" s="1">
        <v>43843</v>
      </c>
      <c r="C182" t="s">
        <v>8</v>
      </c>
      <c r="D182" t="s">
        <v>25</v>
      </c>
      <c r="F182" t="s">
        <v>58</v>
      </c>
      <c r="G182">
        <v>1</v>
      </c>
      <c r="H182">
        <v>60</v>
      </c>
      <c r="I182">
        <f t="shared" si="51"/>
        <v>60</v>
      </c>
      <c r="J182" t="s">
        <v>165</v>
      </c>
      <c r="K182">
        <f>380/12</f>
        <v>31.666666666666668</v>
      </c>
      <c r="M182">
        <f>+K182*G182</f>
        <v>31.666666666666668</v>
      </c>
      <c r="N182">
        <f>+I182-M182</f>
        <v>28.333333333333332</v>
      </c>
    </row>
    <row r="183" spans="1:14" ht="15" customHeight="1" x14ac:dyDescent="0.25">
      <c r="A183">
        <v>182</v>
      </c>
      <c r="B183" s="1">
        <v>43843</v>
      </c>
      <c r="C183" t="s">
        <v>8</v>
      </c>
      <c r="D183" t="s">
        <v>15</v>
      </c>
      <c r="F183" t="s">
        <v>20</v>
      </c>
      <c r="G183">
        <v>30</v>
      </c>
      <c r="H183">
        <v>255</v>
      </c>
      <c r="I183">
        <f t="shared" si="51"/>
        <v>7650</v>
      </c>
      <c r="J183" t="s">
        <v>163</v>
      </c>
      <c r="K183">
        <v>216</v>
      </c>
      <c r="M183">
        <f>+K183*G183</f>
        <v>6480</v>
      </c>
      <c r="N183">
        <f>+I183-M183</f>
        <v>1170</v>
      </c>
    </row>
    <row r="184" spans="1:14" ht="15" customHeight="1" x14ac:dyDescent="0.25">
      <c r="A184">
        <v>183</v>
      </c>
      <c r="B184" s="1">
        <v>43843</v>
      </c>
      <c r="C184" t="s">
        <v>8</v>
      </c>
      <c r="D184" t="s">
        <v>85</v>
      </c>
      <c r="F184" t="s">
        <v>41</v>
      </c>
      <c r="G184">
        <v>1</v>
      </c>
      <c r="H184">
        <v>250</v>
      </c>
      <c r="I184">
        <f t="shared" si="51"/>
        <v>250</v>
      </c>
      <c r="J184" t="s">
        <v>166</v>
      </c>
      <c r="K184">
        <v>180</v>
      </c>
      <c r="M184">
        <f t="shared" ref="M184" si="74">+K184*G184</f>
        <v>180</v>
      </c>
      <c r="N184">
        <f>+I184-M184</f>
        <v>70</v>
      </c>
    </row>
    <row r="185" spans="1:14" ht="15" customHeight="1" x14ac:dyDescent="0.25">
      <c r="A185">
        <v>184</v>
      </c>
      <c r="B185" s="1">
        <v>43843</v>
      </c>
      <c r="C185" t="s">
        <v>8</v>
      </c>
      <c r="D185" t="s">
        <v>55</v>
      </c>
      <c r="F185" t="s">
        <v>89</v>
      </c>
      <c r="G185">
        <f>3/17</f>
        <v>0.17647058823529413</v>
      </c>
      <c r="H185">
        <v>290</v>
      </c>
      <c r="I185">
        <f t="shared" si="51"/>
        <v>51.176470588235297</v>
      </c>
      <c r="J185" t="s">
        <v>13</v>
      </c>
      <c r="K185">
        <v>271</v>
      </c>
      <c r="M185">
        <f t="shared" ref="M185:M186" si="75">+K185*G185</f>
        <v>47.82352941176471</v>
      </c>
      <c r="N185">
        <f t="shared" ref="N185:N186" si="76">+I185-M185</f>
        <v>3.352941176470587</v>
      </c>
    </row>
    <row r="186" spans="1:14" ht="15" customHeight="1" x14ac:dyDescent="0.25">
      <c r="A186">
        <v>185</v>
      </c>
      <c r="B186" s="1">
        <v>43843</v>
      </c>
      <c r="C186" t="s">
        <v>8</v>
      </c>
      <c r="D186" t="s">
        <v>15</v>
      </c>
      <c r="F186" t="s">
        <v>45</v>
      </c>
      <c r="G186">
        <f>32/9</f>
        <v>3.5555555555555554</v>
      </c>
      <c r="H186">
        <v>290</v>
      </c>
      <c r="I186">
        <f t="shared" si="51"/>
        <v>1031.1111111111111</v>
      </c>
      <c r="J186" t="s">
        <v>13</v>
      </c>
      <c r="K186">
        <v>271</v>
      </c>
      <c r="M186">
        <f t="shared" si="75"/>
        <v>963.55555555555554</v>
      </c>
      <c r="N186">
        <f t="shared" si="76"/>
        <v>67.555555555555543</v>
      </c>
    </row>
    <row r="187" spans="1:14" ht="15" customHeight="1" x14ac:dyDescent="0.25">
      <c r="A187">
        <v>186</v>
      </c>
      <c r="B187" s="1">
        <v>43843</v>
      </c>
      <c r="C187" t="s">
        <v>8</v>
      </c>
      <c r="D187" t="s">
        <v>56</v>
      </c>
      <c r="F187" t="s">
        <v>267</v>
      </c>
      <c r="G187">
        <v>2</v>
      </c>
      <c r="H187">
        <v>180</v>
      </c>
      <c r="I187">
        <f t="shared" si="51"/>
        <v>360</v>
      </c>
      <c r="J187" t="s">
        <v>163</v>
      </c>
      <c r="K187">
        <v>130</v>
      </c>
      <c r="M187">
        <f>+K187*G187</f>
        <v>260</v>
      </c>
      <c r="N187">
        <f>+I187-M187</f>
        <v>100</v>
      </c>
    </row>
    <row r="188" spans="1:14" ht="15" customHeight="1" x14ac:dyDescent="0.25">
      <c r="A188">
        <v>187</v>
      </c>
      <c r="B188" s="1">
        <v>43843</v>
      </c>
      <c r="C188" t="s">
        <v>8</v>
      </c>
      <c r="D188" t="s">
        <v>56</v>
      </c>
      <c r="F188" t="s">
        <v>38</v>
      </c>
      <c r="G188">
        <v>1</v>
      </c>
      <c r="H188">
        <v>110</v>
      </c>
      <c r="I188">
        <f t="shared" si="51"/>
        <v>110</v>
      </c>
      <c r="J188" t="s">
        <v>164</v>
      </c>
      <c r="K188">
        <v>70</v>
      </c>
      <c r="M188">
        <f>+K188*G188</f>
        <v>70</v>
      </c>
      <c r="N188">
        <f>+I188-M188</f>
        <v>40</v>
      </c>
    </row>
    <row r="189" spans="1:14" ht="15" customHeight="1" x14ac:dyDescent="0.25">
      <c r="A189">
        <v>188</v>
      </c>
      <c r="B189" s="1">
        <v>43844</v>
      </c>
      <c r="C189" t="s">
        <v>8</v>
      </c>
      <c r="D189" t="s">
        <v>15</v>
      </c>
      <c r="F189" t="s">
        <v>33</v>
      </c>
      <c r="G189">
        <v>15</v>
      </c>
      <c r="H189">
        <v>230</v>
      </c>
      <c r="I189">
        <f t="shared" si="51"/>
        <v>3450</v>
      </c>
      <c r="J189" t="s">
        <v>163</v>
      </c>
      <c r="K189">
        <v>182</v>
      </c>
      <c r="M189">
        <f t="shared" ref="M189:M190" si="77">+K189*G189</f>
        <v>2730</v>
      </c>
      <c r="N189">
        <f t="shared" ref="N189:N190" si="78">+I189-M189</f>
        <v>720</v>
      </c>
    </row>
    <row r="190" spans="1:14" ht="15" customHeight="1" x14ac:dyDescent="0.25">
      <c r="A190">
        <v>189</v>
      </c>
      <c r="B190" s="1">
        <v>43844</v>
      </c>
      <c r="C190" t="s">
        <v>8</v>
      </c>
      <c r="D190" t="s">
        <v>15</v>
      </c>
      <c r="F190" t="s">
        <v>76</v>
      </c>
      <c r="G190">
        <v>1</v>
      </c>
      <c r="H190">
        <v>230</v>
      </c>
      <c r="I190">
        <f t="shared" si="51"/>
        <v>230</v>
      </c>
      <c r="J190" t="s">
        <v>163</v>
      </c>
      <c r="K190">
        <v>176</v>
      </c>
      <c r="M190">
        <f t="shared" si="77"/>
        <v>176</v>
      </c>
      <c r="N190">
        <f t="shared" si="78"/>
        <v>54</v>
      </c>
    </row>
    <row r="191" spans="1:14" ht="15" customHeight="1" x14ac:dyDescent="0.25">
      <c r="A191">
        <v>190</v>
      </c>
      <c r="B191" s="1">
        <v>43844</v>
      </c>
      <c r="C191" t="s">
        <v>8</v>
      </c>
      <c r="D191" t="s">
        <v>56</v>
      </c>
      <c r="F191" t="s">
        <v>38</v>
      </c>
      <c r="G191">
        <v>1</v>
      </c>
      <c r="H191">
        <v>110</v>
      </c>
      <c r="I191">
        <f t="shared" si="51"/>
        <v>110</v>
      </c>
      <c r="J191" t="s">
        <v>164</v>
      </c>
      <c r="K191">
        <v>70</v>
      </c>
      <c r="M191">
        <f>+K191*G191</f>
        <v>70</v>
      </c>
      <c r="N191">
        <f>+I191-M191</f>
        <v>40</v>
      </c>
    </row>
    <row r="192" spans="1:14" ht="15" customHeight="1" x14ac:dyDescent="0.25">
      <c r="A192">
        <v>191</v>
      </c>
      <c r="B192" s="1">
        <v>43844</v>
      </c>
      <c r="C192" t="s">
        <v>8</v>
      </c>
      <c r="D192" t="s">
        <v>55</v>
      </c>
      <c r="F192" t="s">
        <v>120</v>
      </c>
      <c r="G192">
        <v>4</v>
      </c>
      <c r="H192">
        <v>270</v>
      </c>
      <c r="I192">
        <f t="shared" si="51"/>
        <v>1080</v>
      </c>
      <c r="J192" t="s">
        <v>163</v>
      </c>
      <c r="K192">
        <v>227</v>
      </c>
      <c r="M192">
        <f>+K192*G192</f>
        <v>908</v>
      </c>
      <c r="N192">
        <f>+I192-M192</f>
        <v>172</v>
      </c>
    </row>
    <row r="193" spans="1:14" ht="15" customHeight="1" x14ac:dyDescent="0.25">
      <c r="A193">
        <v>192</v>
      </c>
      <c r="B193" s="1">
        <v>43844</v>
      </c>
      <c r="C193" t="s">
        <v>8</v>
      </c>
      <c r="D193" t="s">
        <v>55</v>
      </c>
      <c r="F193" t="s">
        <v>88</v>
      </c>
      <c r="G193">
        <f>3/17</f>
        <v>0.17647058823529413</v>
      </c>
      <c r="H193">
        <v>290</v>
      </c>
      <c r="I193">
        <f t="shared" si="51"/>
        <v>51.176470588235297</v>
      </c>
      <c r="J193" t="s">
        <v>13</v>
      </c>
      <c r="K193">
        <v>271</v>
      </c>
      <c r="M193">
        <f t="shared" ref="M193:M197" si="79">+K193*G193</f>
        <v>47.82352941176471</v>
      </c>
      <c r="N193">
        <f t="shared" ref="N193:N197" si="80">+I193-M193</f>
        <v>3.352941176470587</v>
      </c>
    </row>
    <row r="194" spans="1:14" ht="15" customHeight="1" x14ac:dyDescent="0.25">
      <c r="A194">
        <v>193</v>
      </c>
      <c r="B194" s="1">
        <v>43844</v>
      </c>
      <c r="C194" t="s">
        <v>8</v>
      </c>
      <c r="D194" t="s">
        <v>55</v>
      </c>
      <c r="F194" t="s">
        <v>111</v>
      </c>
      <c r="G194">
        <v>2</v>
      </c>
      <c r="H194">
        <v>290</v>
      </c>
      <c r="I194">
        <f t="shared" si="51"/>
        <v>580</v>
      </c>
      <c r="J194" t="s">
        <v>13</v>
      </c>
      <c r="K194">
        <v>271</v>
      </c>
      <c r="M194">
        <f t="shared" si="79"/>
        <v>542</v>
      </c>
      <c r="N194">
        <f t="shared" si="80"/>
        <v>38</v>
      </c>
    </row>
    <row r="195" spans="1:14" ht="15" customHeight="1" x14ac:dyDescent="0.25">
      <c r="A195">
        <v>194</v>
      </c>
      <c r="B195" s="1">
        <v>43844</v>
      </c>
      <c r="C195" t="s">
        <v>8</v>
      </c>
      <c r="D195" t="s">
        <v>55</v>
      </c>
      <c r="F195" t="s">
        <v>22</v>
      </c>
      <c r="G195">
        <v>10</v>
      </c>
      <c r="H195">
        <v>290</v>
      </c>
      <c r="I195">
        <f t="shared" ref="I195:I258" si="81">+G195*H195</f>
        <v>2900</v>
      </c>
      <c r="J195" t="s">
        <v>13</v>
      </c>
      <c r="K195">
        <v>271</v>
      </c>
      <c r="M195">
        <f t="shared" si="79"/>
        <v>2710</v>
      </c>
      <c r="N195">
        <f t="shared" si="80"/>
        <v>190</v>
      </c>
    </row>
    <row r="196" spans="1:14" ht="15" customHeight="1" x14ac:dyDescent="0.25">
      <c r="A196">
        <v>195</v>
      </c>
      <c r="B196" s="1">
        <v>43844</v>
      </c>
      <c r="C196" t="s">
        <v>8</v>
      </c>
      <c r="D196" t="s">
        <v>15</v>
      </c>
      <c r="F196" t="s">
        <v>20</v>
      </c>
      <c r="G196">
        <v>8</v>
      </c>
      <c r="H196">
        <v>260</v>
      </c>
      <c r="I196">
        <f t="shared" si="81"/>
        <v>2080</v>
      </c>
      <c r="J196" t="s">
        <v>163</v>
      </c>
      <c r="K196">
        <v>216</v>
      </c>
      <c r="M196">
        <f t="shared" si="79"/>
        <v>1728</v>
      </c>
      <c r="N196">
        <f t="shared" si="80"/>
        <v>352</v>
      </c>
    </row>
    <row r="197" spans="1:14" ht="15" customHeight="1" x14ac:dyDescent="0.25">
      <c r="A197">
        <v>196</v>
      </c>
      <c r="B197" s="1">
        <v>43844</v>
      </c>
      <c r="C197" t="s">
        <v>8</v>
      </c>
      <c r="D197" t="s">
        <v>15</v>
      </c>
      <c r="F197" t="s">
        <v>28</v>
      </c>
      <c r="G197">
        <f>4/9</f>
        <v>0.44444444444444442</v>
      </c>
      <c r="H197">
        <v>230</v>
      </c>
      <c r="I197">
        <f t="shared" si="81"/>
        <v>102.22222222222221</v>
      </c>
      <c r="J197" t="s">
        <v>163</v>
      </c>
      <c r="K197">
        <v>182</v>
      </c>
      <c r="M197">
        <f t="shared" si="79"/>
        <v>80.888888888888886</v>
      </c>
      <c r="N197">
        <f t="shared" si="80"/>
        <v>21.333333333333329</v>
      </c>
    </row>
    <row r="198" spans="1:14" ht="15" customHeight="1" x14ac:dyDescent="0.25">
      <c r="A198">
        <v>197</v>
      </c>
      <c r="B198" s="1">
        <v>43844</v>
      </c>
      <c r="C198" t="s">
        <v>8</v>
      </c>
      <c r="D198" t="s">
        <v>85</v>
      </c>
      <c r="F198" t="s">
        <v>86</v>
      </c>
      <c r="G198">
        <v>1</v>
      </c>
      <c r="H198">
        <v>900</v>
      </c>
      <c r="I198">
        <f t="shared" si="81"/>
        <v>900</v>
      </c>
      <c r="J198" t="s">
        <v>167</v>
      </c>
      <c r="K198">
        <v>470</v>
      </c>
      <c r="M198">
        <f>+K198*G198</f>
        <v>470</v>
      </c>
      <c r="N198">
        <f>+I198-M122:M198</f>
        <v>430</v>
      </c>
    </row>
    <row r="199" spans="1:14" ht="15" customHeight="1" x14ac:dyDescent="0.25">
      <c r="A199">
        <v>198</v>
      </c>
      <c r="B199" s="1">
        <v>43844</v>
      </c>
      <c r="C199" t="s">
        <v>8</v>
      </c>
      <c r="D199" t="s">
        <v>85</v>
      </c>
      <c r="F199" t="s">
        <v>121</v>
      </c>
      <c r="G199">
        <v>1</v>
      </c>
      <c r="H199">
        <v>90</v>
      </c>
      <c r="I199">
        <f t="shared" si="81"/>
        <v>90</v>
      </c>
      <c r="J199" t="s">
        <v>166</v>
      </c>
      <c r="K199">
        <v>43</v>
      </c>
      <c r="M199">
        <f t="shared" ref="M199:M200" si="82">+K199*G199</f>
        <v>43</v>
      </c>
      <c r="N199">
        <f>+I199-M199</f>
        <v>47</v>
      </c>
    </row>
    <row r="200" spans="1:14" ht="15" customHeight="1" x14ac:dyDescent="0.25">
      <c r="A200">
        <v>199</v>
      </c>
      <c r="B200" s="1">
        <v>43844</v>
      </c>
      <c r="C200" t="s">
        <v>8</v>
      </c>
      <c r="D200" t="s">
        <v>85</v>
      </c>
      <c r="F200" t="s">
        <v>41</v>
      </c>
      <c r="G200">
        <v>1</v>
      </c>
      <c r="H200">
        <v>100</v>
      </c>
      <c r="I200">
        <f t="shared" si="81"/>
        <v>100</v>
      </c>
      <c r="J200" t="s">
        <v>166</v>
      </c>
      <c r="K200">
        <v>72</v>
      </c>
      <c r="M200">
        <f t="shared" si="82"/>
        <v>72</v>
      </c>
      <c r="N200">
        <f t="shared" ref="N200" si="83">+I200-M200</f>
        <v>28</v>
      </c>
    </row>
    <row r="201" spans="1:14" ht="15" customHeight="1" x14ac:dyDescent="0.25">
      <c r="A201">
        <v>200</v>
      </c>
      <c r="B201" s="1">
        <v>43844</v>
      </c>
      <c r="C201" t="s">
        <v>8</v>
      </c>
      <c r="D201" t="s">
        <v>70</v>
      </c>
      <c r="F201" t="s">
        <v>122</v>
      </c>
      <c r="G201">
        <v>1</v>
      </c>
      <c r="H201">
        <v>3100</v>
      </c>
      <c r="I201">
        <f t="shared" si="81"/>
        <v>3100</v>
      </c>
      <c r="J201" t="s">
        <v>163</v>
      </c>
      <c r="K201">
        <v>2732</v>
      </c>
      <c r="M201">
        <f>+K201*G201</f>
        <v>2732</v>
      </c>
      <c r="N201">
        <f>+I201-M201</f>
        <v>368</v>
      </c>
    </row>
    <row r="202" spans="1:14" ht="15" customHeight="1" x14ac:dyDescent="0.25">
      <c r="A202">
        <v>201</v>
      </c>
      <c r="B202" s="1">
        <v>43844</v>
      </c>
      <c r="C202" t="s">
        <v>8</v>
      </c>
      <c r="D202" t="s">
        <v>85</v>
      </c>
      <c r="F202" t="s">
        <v>41</v>
      </c>
      <c r="G202">
        <v>1</v>
      </c>
      <c r="H202">
        <v>150</v>
      </c>
      <c r="I202">
        <f t="shared" si="81"/>
        <v>150</v>
      </c>
      <c r="J202" t="s">
        <v>166</v>
      </c>
      <c r="K202">
        <v>100</v>
      </c>
      <c r="M202">
        <f t="shared" ref="M202" si="84">+K202*G202</f>
        <v>100</v>
      </c>
      <c r="N202">
        <f>+I202-M202</f>
        <v>50</v>
      </c>
    </row>
    <row r="203" spans="1:14" ht="15" customHeight="1" x14ac:dyDescent="0.25">
      <c r="A203">
        <v>202</v>
      </c>
      <c r="B203" s="1">
        <v>43844</v>
      </c>
      <c r="C203" t="s">
        <v>8</v>
      </c>
      <c r="D203" t="s">
        <v>15</v>
      </c>
      <c r="F203" t="s">
        <v>20</v>
      </c>
      <c r="G203">
        <v>10</v>
      </c>
      <c r="H203">
        <v>240</v>
      </c>
      <c r="I203">
        <f t="shared" si="81"/>
        <v>2400</v>
      </c>
      <c r="J203" t="s">
        <v>163</v>
      </c>
      <c r="K203">
        <v>216</v>
      </c>
      <c r="M203">
        <f t="shared" ref="M203:M205" si="85">+K203*G203</f>
        <v>2160</v>
      </c>
      <c r="N203">
        <f t="shared" ref="N203:N205" si="86">+I203-M203</f>
        <v>240</v>
      </c>
    </row>
    <row r="204" spans="1:14" ht="15" customHeight="1" x14ac:dyDescent="0.25">
      <c r="A204">
        <v>203</v>
      </c>
      <c r="B204" s="1">
        <v>43844</v>
      </c>
      <c r="C204" t="s">
        <v>8</v>
      </c>
      <c r="D204" t="s">
        <v>15</v>
      </c>
      <c r="F204" t="s">
        <v>123</v>
      </c>
      <c r="G204">
        <f>4/10</f>
        <v>0.4</v>
      </c>
      <c r="H204">
        <v>290</v>
      </c>
      <c r="I204">
        <f t="shared" si="81"/>
        <v>116</v>
      </c>
      <c r="J204" t="s">
        <v>163</v>
      </c>
      <c r="K204">
        <v>258</v>
      </c>
      <c r="M204">
        <f t="shared" si="85"/>
        <v>103.2</v>
      </c>
      <c r="N204">
        <f t="shared" si="86"/>
        <v>12.799999999999997</v>
      </c>
    </row>
    <row r="205" spans="1:14" ht="15" customHeight="1" x14ac:dyDescent="0.25">
      <c r="A205">
        <v>204</v>
      </c>
      <c r="B205" s="1">
        <v>43844</v>
      </c>
      <c r="C205" t="s">
        <v>8</v>
      </c>
      <c r="D205" t="s">
        <v>15</v>
      </c>
      <c r="F205" t="s">
        <v>29</v>
      </c>
      <c r="G205">
        <v>1</v>
      </c>
      <c r="H205">
        <v>230</v>
      </c>
      <c r="I205">
        <f t="shared" si="81"/>
        <v>230</v>
      </c>
      <c r="J205" t="s">
        <v>163</v>
      </c>
      <c r="K205">
        <v>196</v>
      </c>
      <c r="M205">
        <f t="shared" si="85"/>
        <v>196</v>
      </c>
      <c r="N205">
        <f t="shared" si="86"/>
        <v>34</v>
      </c>
    </row>
    <row r="206" spans="1:14" ht="15" customHeight="1" x14ac:dyDescent="0.25">
      <c r="A206">
        <v>205</v>
      </c>
      <c r="B206" s="1">
        <v>43844</v>
      </c>
      <c r="C206" t="s">
        <v>8</v>
      </c>
      <c r="D206" t="s">
        <v>55</v>
      </c>
      <c r="F206" t="s">
        <v>22</v>
      </c>
      <c r="G206">
        <v>6</v>
      </c>
      <c r="H206">
        <v>290</v>
      </c>
      <c r="I206">
        <f t="shared" si="81"/>
        <v>1740</v>
      </c>
      <c r="J206" t="s">
        <v>13</v>
      </c>
      <c r="K206">
        <v>271</v>
      </c>
      <c r="M206">
        <f>+K206*G206</f>
        <v>1626</v>
      </c>
      <c r="N206">
        <f>+I206-M206</f>
        <v>114</v>
      </c>
    </row>
    <row r="207" spans="1:14" ht="15" customHeight="1" x14ac:dyDescent="0.25">
      <c r="A207">
        <v>206</v>
      </c>
      <c r="B207" s="1">
        <v>43844</v>
      </c>
      <c r="C207" t="s">
        <v>8</v>
      </c>
      <c r="D207" t="s">
        <v>78</v>
      </c>
      <c r="F207" t="s">
        <v>79</v>
      </c>
      <c r="G207">
        <v>1</v>
      </c>
      <c r="H207">
        <v>1550</v>
      </c>
      <c r="I207">
        <f t="shared" si="81"/>
        <v>1550</v>
      </c>
      <c r="J207" t="s">
        <v>167</v>
      </c>
      <c r="K207">
        <v>1330</v>
      </c>
      <c r="M207">
        <f>+K207*G207</f>
        <v>1330</v>
      </c>
      <c r="N207">
        <f>+I207-M131:M207</f>
        <v>220</v>
      </c>
    </row>
    <row r="208" spans="1:14" ht="15" customHeight="1" x14ac:dyDescent="0.25">
      <c r="A208">
        <v>207</v>
      </c>
      <c r="B208" s="1">
        <v>43844</v>
      </c>
      <c r="C208" t="s">
        <v>8</v>
      </c>
      <c r="D208" t="s">
        <v>78</v>
      </c>
      <c r="F208" t="s">
        <v>124</v>
      </c>
      <c r="G208">
        <v>1</v>
      </c>
      <c r="H208">
        <v>90</v>
      </c>
      <c r="I208">
        <f t="shared" si="81"/>
        <v>90</v>
      </c>
      <c r="J208" t="s">
        <v>166</v>
      </c>
      <c r="K208">
        <v>43</v>
      </c>
      <c r="M208">
        <f t="shared" ref="M208:M209" si="87">+K208*G208</f>
        <v>43</v>
      </c>
      <c r="N208">
        <f>+I208-M208</f>
        <v>47</v>
      </c>
    </row>
    <row r="209" spans="1:14" ht="15" customHeight="1" x14ac:dyDescent="0.25">
      <c r="A209">
        <v>208</v>
      </c>
      <c r="B209" s="1">
        <v>43844</v>
      </c>
      <c r="C209" t="s">
        <v>8</v>
      </c>
      <c r="D209" t="s">
        <v>78</v>
      </c>
      <c r="F209" t="s">
        <v>125</v>
      </c>
      <c r="G209">
        <v>1</v>
      </c>
      <c r="H209">
        <v>730</v>
      </c>
      <c r="I209">
        <f t="shared" si="81"/>
        <v>730</v>
      </c>
      <c r="J209" t="s">
        <v>166</v>
      </c>
      <c r="K209">
        <v>517</v>
      </c>
      <c r="M209">
        <f t="shared" si="87"/>
        <v>517</v>
      </c>
      <c r="N209">
        <f t="shared" ref="N209" si="88">+I209-M209</f>
        <v>213</v>
      </c>
    </row>
    <row r="210" spans="1:14" ht="15" customHeight="1" x14ac:dyDescent="0.25">
      <c r="A210">
        <v>209</v>
      </c>
      <c r="B210" s="1">
        <v>43844</v>
      </c>
      <c r="C210" t="s">
        <v>8</v>
      </c>
      <c r="D210" t="s">
        <v>15</v>
      </c>
      <c r="F210" t="s">
        <v>76</v>
      </c>
      <c r="G210">
        <v>0.84340000000000004</v>
      </c>
      <c r="H210">
        <v>230</v>
      </c>
      <c r="I210">
        <f>+G210*H210</f>
        <v>193.982</v>
      </c>
      <c r="J210" t="s">
        <v>163</v>
      </c>
      <c r="K210">
        <v>176</v>
      </c>
      <c r="M210">
        <f>+K210*G210</f>
        <v>148.4384</v>
      </c>
      <c r="N210">
        <f>+I210-M210</f>
        <v>45.543599999999998</v>
      </c>
    </row>
    <row r="211" spans="1:14" ht="15" customHeight="1" x14ac:dyDescent="0.25">
      <c r="A211">
        <v>210</v>
      </c>
      <c r="B211" s="1">
        <v>43844</v>
      </c>
      <c r="C211" t="s">
        <v>8</v>
      </c>
      <c r="D211" t="s">
        <v>55</v>
      </c>
      <c r="F211" t="s">
        <v>108</v>
      </c>
      <c r="G211">
        <f>26/17</f>
        <v>1.5294117647058822</v>
      </c>
      <c r="H211">
        <v>290</v>
      </c>
      <c r="I211">
        <f t="shared" si="81"/>
        <v>443.52941176470586</v>
      </c>
      <c r="J211" t="s">
        <v>13</v>
      </c>
      <c r="K211">
        <v>271</v>
      </c>
      <c r="M211">
        <f t="shared" ref="M211:M212" si="89">+K211*G211</f>
        <v>414.47058823529409</v>
      </c>
      <c r="N211">
        <f t="shared" ref="N211:N212" si="90">+I211-M211</f>
        <v>29.058823529411768</v>
      </c>
    </row>
    <row r="212" spans="1:14" ht="15" customHeight="1" x14ac:dyDescent="0.25">
      <c r="A212">
        <v>211</v>
      </c>
      <c r="B212" s="1">
        <v>43844</v>
      </c>
      <c r="C212" t="s">
        <v>8</v>
      </c>
      <c r="D212" t="s">
        <v>55</v>
      </c>
      <c r="F212" t="s">
        <v>22</v>
      </c>
      <c r="G212">
        <v>3</v>
      </c>
      <c r="H212">
        <v>290</v>
      </c>
      <c r="I212">
        <f t="shared" si="81"/>
        <v>870</v>
      </c>
      <c r="J212" t="s">
        <v>13</v>
      </c>
      <c r="K212">
        <v>271</v>
      </c>
      <c r="M212">
        <f t="shared" si="89"/>
        <v>813</v>
      </c>
      <c r="N212">
        <f t="shared" si="90"/>
        <v>57</v>
      </c>
    </row>
    <row r="213" spans="1:14" ht="15" customHeight="1" x14ac:dyDescent="0.25">
      <c r="A213">
        <v>212</v>
      </c>
      <c r="B213" s="1">
        <v>43845</v>
      </c>
      <c r="C213" t="s">
        <v>8</v>
      </c>
      <c r="D213" t="s">
        <v>15</v>
      </c>
      <c r="F213" t="s">
        <v>33</v>
      </c>
      <c r="G213">
        <v>3.06</v>
      </c>
      <c r="H213">
        <v>230</v>
      </c>
      <c r="I213">
        <f t="shared" si="81"/>
        <v>703.80000000000007</v>
      </c>
      <c r="J213" t="s">
        <v>163</v>
      </c>
      <c r="K213">
        <v>182</v>
      </c>
      <c r="M213">
        <f>+K213*G213</f>
        <v>556.91999999999996</v>
      </c>
      <c r="N213">
        <f>+I213-M213</f>
        <v>146.88000000000011</v>
      </c>
    </row>
    <row r="214" spans="1:14" ht="15" customHeight="1" x14ac:dyDescent="0.25">
      <c r="A214">
        <v>213</v>
      </c>
      <c r="B214" s="1">
        <v>43845</v>
      </c>
      <c r="C214" t="s">
        <v>8</v>
      </c>
      <c r="D214" t="s">
        <v>55</v>
      </c>
      <c r="F214" t="s">
        <v>149</v>
      </c>
      <c r="G214">
        <f>6/12</f>
        <v>0.5</v>
      </c>
      <c r="H214">
        <v>290</v>
      </c>
      <c r="I214">
        <f t="shared" si="81"/>
        <v>145</v>
      </c>
      <c r="J214" t="s">
        <v>13</v>
      </c>
      <c r="K214">
        <v>271</v>
      </c>
      <c r="M214">
        <f>+K214*G214</f>
        <v>135.5</v>
      </c>
      <c r="N214">
        <f>+I214-M214</f>
        <v>9.5</v>
      </c>
    </row>
    <row r="215" spans="1:14" ht="15" customHeight="1" x14ac:dyDescent="0.25">
      <c r="A215">
        <v>214</v>
      </c>
      <c r="B215" s="1">
        <v>43845</v>
      </c>
      <c r="C215" t="s">
        <v>8</v>
      </c>
      <c r="D215" t="s">
        <v>92</v>
      </c>
      <c r="F215" t="s">
        <v>126</v>
      </c>
      <c r="G215">
        <v>1</v>
      </c>
      <c r="H215">
        <v>300</v>
      </c>
      <c r="I215">
        <f t="shared" si="81"/>
        <v>300</v>
      </c>
      <c r="J215" t="s">
        <v>166</v>
      </c>
      <c r="K215">
        <v>252</v>
      </c>
      <c r="M215">
        <f t="shared" ref="M215" si="91">+K215*G215</f>
        <v>252</v>
      </c>
      <c r="N215">
        <f t="shared" ref="N215" si="92">+I215-M215</f>
        <v>48</v>
      </c>
    </row>
    <row r="216" spans="1:14" ht="15" customHeight="1" x14ac:dyDescent="0.25">
      <c r="A216">
        <v>215</v>
      </c>
      <c r="B216" s="1">
        <v>43845</v>
      </c>
      <c r="C216" t="s">
        <v>8</v>
      </c>
      <c r="D216" t="s">
        <v>15</v>
      </c>
      <c r="F216" t="s">
        <v>45</v>
      </c>
      <c r="G216">
        <v>55</v>
      </c>
      <c r="H216">
        <v>285</v>
      </c>
      <c r="I216">
        <f t="shared" si="81"/>
        <v>15675</v>
      </c>
      <c r="J216" t="s">
        <v>13</v>
      </c>
      <c r="K216">
        <v>271</v>
      </c>
      <c r="M216">
        <f t="shared" ref="M216:M226" si="93">+K216*G216</f>
        <v>14905</v>
      </c>
      <c r="N216">
        <f t="shared" ref="N216:N226" si="94">+I216-M216</f>
        <v>770</v>
      </c>
    </row>
    <row r="217" spans="1:14" ht="15" customHeight="1" x14ac:dyDescent="0.25">
      <c r="A217">
        <v>216</v>
      </c>
      <c r="B217" s="1">
        <v>43845</v>
      </c>
      <c r="C217" t="s">
        <v>8</v>
      </c>
      <c r="D217" t="s">
        <v>56</v>
      </c>
      <c r="F217" t="s">
        <v>38</v>
      </c>
      <c r="G217">
        <v>1</v>
      </c>
      <c r="H217">
        <v>110</v>
      </c>
      <c r="I217">
        <f t="shared" si="81"/>
        <v>110</v>
      </c>
      <c r="J217" t="s">
        <v>164</v>
      </c>
      <c r="K217">
        <v>70</v>
      </c>
      <c r="M217">
        <f t="shared" si="93"/>
        <v>70</v>
      </c>
      <c r="N217">
        <f t="shared" si="94"/>
        <v>40</v>
      </c>
    </row>
    <row r="218" spans="1:14" ht="15" customHeight="1" x14ac:dyDescent="0.25">
      <c r="A218">
        <v>217</v>
      </c>
      <c r="B218" s="1">
        <v>43845</v>
      </c>
      <c r="C218" t="s">
        <v>8</v>
      </c>
      <c r="D218" t="s">
        <v>15</v>
      </c>
      <c r="F218" t="s">
        <v>80</v>
      </c>
      <c r="G218">
        <v>6</v>
      </c>
      <c r="H218">
        <v>240</v>
      </c>
      <c r="I218">
        <f t="shared" si="81"/>
        <v>1440</v>
      </c>
      <c r="J218" t="s">
        <v>163</v>
      </c>
      <c r="K218">
        <v>212</v>
      </c>
      <c r="M218">
        <f t="shared" si="93"/>
        <v>1272</v>
      </c>
      <c r="N218">
        <f t="shared" si="94"/>
        <v>168</v>
      </c>
    </row>
    <row r="219" spans="1:14" ht="15" customHeight="1" x14ac:dyDescent="0.25">
      <c r="A219">
        <v>218</v>
      </c>
      <c r="B219" s="1">
        <v>43845</v>
      </c>
      <c r="C219" t="s">
        <v>8</v>
      </c>
      <c r="D219" t="s">
        <v>25</v>
      </c>
      <c r="F219" t="s">
        <v>127</v>
      </c>
      <c r="G219">
        <v>1</v>
      </c>
      <c r="H219">
        <v>100</v>
      </c>
      <c r="I219">
        <f t="shared" si="81"/>
        <v>100</v>
      </c>
      <c r="J219" t="s">
        <v>165</v>
      </c>
      <c r="K219">
        <f>380/12</f>
        <v>31.666666666666668</v>
      </c>
      <c r="M219">
        <f t="shared" si="93"/>
        <v>31.666666666666668</v>
      </c>
      <c r="N219">
        <f t="shared" si="94"/>
        <v>68.333333333333329</v>
      </c>
    </row>
    <row r="220" spans="1:14" ht="15" customHeight="1" x14ac:dyDescent="0.25">
      <c r="A220">
        <v>219</v>
      </c>
      <c r="B220" s="1">
        <v>43845</v>
      </c>
      <c r="C220" t="s">
        <v>8</v>
      </c>
      <c r="D220" t="s">
        <v>55</v>
      </c>
      <c r="F220" t="s">
        <v>22</v>
      </c>
      <c r="G220">
        <f>2/17</f>
        <v>0.11764705882352941</v>
      </c>
      <c r="H220">
        <v>290</v>
      </c>
      <c r="I220">
        <f t="shared" si="81"/>
        <v>34.117647058823529</v>
      </c>
      <c r="J220" t="s">
        <v>13</v>
      </c>
      <c r="K220">
        <v>271</v>
      </c>
      <c r="M220">
        <f t="shared" si="93"/>
        <v>31.882352941176471</v>
      </c>
      <c r="N220">
        <f t="shared" si="94"/>
        <v>2.235294117647058</v>
      </c>
    </row>
    <row r="221" spans="1:14" ht="15" customHeight="1" x14ac:dyDescent="0.25">
      <c r="A221">
        <v>220</v>
      </c>
      <c r="B221" s="1">
        <v>43845</v>
      </c>
      <c r="C221" t="s">
        <v>8</v>
      </c>
      <c r="D221" t="s">
        <v>15</v>
      </c>
      <c r="F221" t="s">
        <v>32</v>
      </c>
      <c r="G221">
        <v>3.5</v>
      </c>
      <c r="H221">
        <v>280</v>
      </c>
      <c r="I221">
        <f t="shared" si="81"/>
        <v>980</v>
      </c>
      <c r="J221" t="s">
        <v>163</v>
      </c>
      <c r="K221">
        <v>214</v>
      </c>
      <c r="M221">
        <f t="shared" si="93"/>
        <v>749</v>
      </c>
      <c r="N221">
        <f t="shared" si="94"/>
        <v>231</v>
      </c>
    </row>
    <row r="222" spans="1:14" ht="15" customHeight="1" x14ac:dyDescent="0.25">
      <c r="A222">
        <v>221</v>
      </c>
      <c r="B222" s="1">
        <v>43845</v>
      </c>
      <c r="C222" t="s">
        <v>8</v>
      </c>
      <c r="D222" t="s">
        <v>15</v>
      </c>
      <c r="F222" t="s">
        <v>45</v>
      </c>
      <c r="G222">
        <v>10.5</v>
      </c>
      <c r="H222">
        <v>285</v>
      </c>
      <c r="I222">
        <f t="shared" si="81"/>
        <v>2992.5</v>
      </c>
      <c r="J222" t="s">
        <v>13</v>
      </c>
      <c r="K222">
        <v>271</v>
      </c>
      <c r="M222">
        <f t="shared" si="93"/>
        <v>2845.5</v>
      </c>
      <c r="N222">
        <f t="shared" si="94"/>
        <v>147</v>
      </c>
    </row>
    <row r="223" spans="1:14" ht="15" customHeight="1" x14ac:dyDescent="0.25">
      <c r="A223">
        <v>222</v>
      </c>
      <c r="B223" s="1">
        <v>43845</v>
      </c>
      <c r="C223" t="s">
        <v>8</v>
      </c>
      <c r="D223" t="s">
        <v>15</v>
      </c>
      <c r="F223" t="s">
        <v>54</v>
      </c>
      <c r="G223">
        <v>0.66</v>
      </c>
      <c r="H223">
        <v>240</v>
      </c>
      <c r="I223">
        <f t="shared" si="81"/>
        <v>158.4</v>
      </c>
      <c r="J223" t="s">
        <v>163</v>
      </c>
      <c r="K223">
        <v>212</v>
      </c>
      <c r="M223">
        <f t="shared" si="93"/>
        <v>139.92000000000002</v>
      </c>
      <c r="N223">
        <f t="shared" si="94"/>
        <v>18.47999999999999</v>
      </c>
    </row>
    <row r="224" spans="1:14" ht="15" customHeight="1" x14ac:dyDescent="0.25">
      <c r="A224">
        <v>223</v>
      </c>
      <c r="B224" s="1">
        <v>43845</v>
      </c>
      <c r="C224" t="s">
        <v>8</v>
      </c>
      <c r="D224" t="s">
        <v>15</v>
      </c>
      <c r="F224" t="s">
        <v>19</v>
      </c>
      <c r="G224">
        <v>1</v>
      </c>
      <c r="H224">
        <v>290</v>
      </c>
      <c r="I224">
        <f t="shared" si="81"/>
        <v>290</v>
      </c>
      <c r="J224" t="s">
        <v>13</v>
      </c>
      <c r="K224">
        <v>271</v>
      </c>
      <c r="M224">
        <f t="shared" si="93"/>
        <v>271</v>
      </c>
      <c r="N224">
        <f t="shared" si="94"/>
        <v>19</v>
      </c>
    </row>
    <row r="225" spans="1:14" ht="15" customHeight="1" x14ac:dyDescent="0.25">
      <c r="A225">
        <v>224</v>
      </c>
      <c r="B225" s="1">
        <v>43845</v>
      </c>
      <c r="C225" t="s">
        <v>8</v>
      </c>
      <c r="D225" t="s">
        <v>15</v>
      </c>
      <c r="F225" t="s">
        <v>96</v>
      </c>
      <c r="G225">
        <v>5</v>
      </c>
      <c r="H225">
        <v>230</v>
      </c>
      <c r="I225">
        <f t="shared" si="81"/>
        <v>1150</v>
      </c>
      <c r="J225" t="s">
        <v>163</v>
      </c>
      <c r="K225">
        <v>182</v>
      </c>
      <c r="M225">
        <f t="shared" si="93"/>
        <v>910</v>
      </c>
      <c r="N225">
        <f t="shared" si="94"/>
        <v>240</v>
      </c>
    </row>
    <row r="226" spans="1:14" ht="15" customHeight="1" x14ac:dyDescent="0.25">
      <c r="A226">
        <v>225</v>
      </c>
      <c r="B226" s="1">
        <v>43845</v>
      </c>
      <c r="C226" t="s">
        <v>8</v>
      </c>
      <c r="D226" t="s">
        <v>15</v>
      </c>
      <c r="F226" t="s">
        <v>15</v>
      </c>
      <c r="G226">
        <v>0.61599999999999999</v>
      </c>
      <c r="H226">
        <v>240</v>
      </c>
      <c r="I226">
        <f t="shared" si="81"/>
        <v>147.84</v>
      </c>
      <c r="J226" t="s">
        <v>163</v>
      </c>
      <c r="K226">
        <v>180</v>
      </c>
      <c r="M226">
        <f t="shared" si="93"/>
        <v>110.88</v>
      </c>
      <c r="N226">
        <f t="shared" si="94"/>
        <v>36.960000000000008</v>
      </c>
    </row>
    <row r="227" spans="1:14" ht="15" customHeight="1" x14ac:dyDescent="0.25">
      <c r="A227">
        <v>226</v>
      </c>
      <c r="B227" s="1">
        <v>43845</v>
      </c>
      <c r="C227" t="s">
        <v>8</v>
      </c>
      <c r="D227" t="s">
        <v>25</v>
      </c>
      <c r="F227" t="s">
        <v>128</v>
      </c>
      <c r="G227">
        <v>1</v>
      </c>
      <c r="H227">
        <v>60</v>
      </c>
      <c r="I227">
        <f t="shared" si="81"/>
        <v>60</v>
      </c>
      <c r="J227" t="s">
        <v>165</v>
      </c>
      <c r="K227">
        <f>380/12</f>
        <v>31.666666666666668</v>
      </c>
      <c r="M227">
        <f>+K227*G227</f>
        <v>31.666666666666668</v>
      </c>
      <c r="N227">
        <f>+I227-M227</f>
        <v>28.333333333333332</v>
      </c>
    </row>
    <row r="228" spans="1:14" ht="15" customHeight="1" x14ac:dyDescent="0.25">
      <c r="A228">
        <v>227</v>
      </c>
      <c r="B228" s="1">
        <v>43845</v>
      </c>
      <c r="C228" t="s">
        <v>8</v>
      </c>
      <c r="D228" t="s">
        <v>15</v>
      </c>
      <c r="F228" t="s">
        <v>129</v>
      </c>
      <c r="G228">
        <v>1</v>
      </c>
      <c r="H228">
        <v>290</v>
      </c>
      <c r="I228">
        <f t="shared" si="81"/>
        <v>290</v>
      </c>
      <c r="J228" t="s">
        <v>13</v>
      </c>
      <c r="K228">
        <v>271</v>
      </c>
      <c r="M228">
        <f>+K228*G228</f>
        <v>271</v>
      </c>
      <c r="N228">
        <f>+I228-M228</f>
        <v>19</v>
      </c>
    </row>
    <row r="229" spans="1:14" ht="15" customHeight="1" x14ac:dyDescent="0.25">
      <c r="A229">
        <v>228</v>
      </c>
      <c r="B229" s="1">
        <v>43846</v>
      </c>
      <c r="C229" t="s">
        <v>8</v>
      </c>
      <c r="D229" t="s">
        <v>15</v>
      </c>
      <c r="F229" t="s">
        <v>76</v>
      </c>
      <c r="G229">
        <v>3</v>
      </c>
      <c r="H229">
        <v>230</v>
      </c>
      <c r="I229">
        <f t="shared" si="81"/>
        <v>690</v>
      </c>
      <c r="J229" t="s">
        <v>163</v>
      </c>
      <c r="K229">
        <v>176</v>
      </c>
      <c r="M229">
        <f>+K229*G229</f>
        <v>528</v>
      </c>
      <c r="N229">
        <f>+I229-M229</f>
        <v>162</v>
      </c>
    </row>
    <row r="230" spans="1:14" ht="15" customHeight="1" x14ac:dyDescent="0.25">
      <c r="A230">
        <v>229</v>
      </c>
      <c r="B230" s="1">
        <v>43846</v>
      </c>
      <c r="C230" t="s">
        <v>8</v>
      </c>
      <c r="D230" t="s">
        <v>93</v>
      </c>
      <c r="F230" t="s">
        <v>83</v>
      </c>
      <c r="G230">
        <v>1</v>
      </c>
      <c r="H230">
        <v>60</v>
      </c>
      <c r="I230">
        <f t="shared" si="81"/>
        <v>60</v>
      </c>
      <c r="J230" t="s">
        <v>165</v>
      </c>
      <c r="K230">
        <f>380/12</f>
        <v>31.666666666666668</v>
      </c>
      <c r="M230">
        <f>+K230*G230</f>
        <v>31.666666666666668</v>
      </c>
      <c r="N230">
        <f>+I230-M230</f>
        <v>28.333333333333332</v>
      </c>
    </row>
    <row r="231" spans="1:14" ht="15" customHeight="1" x14ac:dyDescent="0.25">
      <c r="A231">
        <v>230</v>
      </c>
      <c r="B231" s="1">
        <v>43846</v>
      </c>
      <c r="C231" t="s">
        <v>8</v>
      </c>
      <c r="D231" t="s">
        <v>15</v>
      </c>
      <c r="F231" t="s">
        <v>28</v>
      </c>
      <c r="G231">
        <v>14</v>
      </c>
      <c r="H231">
        <v>220</v>
      </c>
      <c r="I231">
        <f t="shared" si="81"/>
        <v>3080</v>
      </c>
      <c r="J231" t="s">
        <v>163</v>
      </c>
      <c r="K231">
        <v>182</v>
      </c>
      <c r="M231">
        <f t="shared" ref="M231:M232" si="95">+K231*G231</f>
        <v>2548</v>
      </c>
      <c r="N231">
        <f t="shared" ref="N231:N232" si="96">+I231-M231</f>
        <v>532</v>
      </c>
    </row>
    <row r="232" spans="1:14" ht="15" customHeight="1" x14ac:dyDescent="0.25">
      <c r="A232">
        <v>231</v>
      </c>
      <c r="B232" s="1">
        <v>43846</v>
      </c>
      <c r="C232" t="s">
        <v>8</v>
      </c>
      <c r="D232" t="s">
        <v>56</v>
      </c>
      <c r="F232" t="s">
        <v>267</v>
      </c>
      <c r="G232">
        <v>2</v>
      </c>
      <c r="H232">
        <v>180</v>
      </c>
      <c r="I232">
        <f t="shared" si="81"/>
        <v>360</v>
      </c>
      <c r="J232" t="s">
        <v>163</v>
      </c>
      <c r="K232">
        <v>130</v>
      </c>
      <c r="M232">
        <f t="shared" si="95"/>
        <v>260</v>
      </c>
      <c r="N232">
        <f t="shared" si="96"/>
        <v>100</v>
      </c>
    </row>
    <row r="233" spans="1:14" ht="15" customHeight="1" x14ac:dyDescent="0.25">
      <c r="A233">
        <v>232</v>
      </c>
      <c r="B233" s="1">
        <v>43846</v>
      </c>
      <c r="C233" t="s">
        <v>8</v>
      </c>
      <c r="D233" t="s">
        <v>25</v>
      </c>
      <c r="F233" t="s">
        <v>130</v>
      </c>
      <c r="G233">
        <v>1</v>
      </c>
      <c r="H233">
        <v>60</v>
      </c>
      <c r="I233">
        <f t="shared" si="81"/>
        <v>60</v>
      </c>
      <c r="J233" t="s">
        <v>165</v>
      </c>
      <c r="K233">
        <f>380/12</f>
        <v>31.666666666666668</v>
      </c>
      <c r="M233">
        <f>+K233*G233</f>
        <v>31.666666666666668</v>
      </c>
      <c r="N233">
        <f>+I233-M233</f>
        <v>28.333333333333332</v>
      </c>
    </row>
    <row r="234" spans="1:14" ht="15" customHeight="1" x14ac:dyDescent="0.25">
      <c r="A234">
        <v>233</v>
      </c>
      <c r="B234" s="1">
        <v>43846</v>
      </c>
      <c r="C234" t="s">
        <v>8</v>
      </c>
      <c r="D234" t="s">
        <v>15</v>
      </c>
      <c r="F234" t="s">
        <v>96</v>
      </c>
      <c r="G234">
        <v>20</v>
      </c>
      <c r="H234">
        <v>230</v>
      </c>
      <c r="I234">
        <f t="shared" si="81"/>
        <v>4600</v>
      </c>
      <c r="J234" t="s">
        <v>163</v>
      </c>
      <c r="K234">
        <v>182</v>
      </c>
      <c r="M234">
        <f>+K234*G234</f>
        <v>3640</v>
      </c>
      <c r="N234">
        <f>+I234-M234</f>
        <v>960</v>
      </c>
    </row>
    <row r="235" spans="1:14" ht="15" customHeight="1" x14ac:dyDescent="0.25">
      <c r="A235">
        <v>234</v>
      </c>
      <c r="B235" s="1">
        <v>43846</v>
      </c>
      <c r="C235" t="s">
        <v>8</v>
      </c>
      <c r="D235" t="s">
        <v>55</v>
      </c>
      <c r="F235" t="s">
        <v>39</v>
      </c>
      <c r="G235">
        <f>15/17</f>
        <v>0.88235294117647056</v>
      </c>
      <c r="H235">
        <v>290</v>
      </c>
      <c r="I235">
        <f t="shared" si="81"/>
        <v>255.88235294117646</v>
      </c>
      <c r="J235" t="s">
        <v>13</v>
      </c>
      <c r="K235">
        <v>271</v>
      </c>
      <c r="M235">
        <f t="shared" ref="M235:M238" si="97">+K235*G235</f>
        <v>239.11764705882354</v>
      </c>
      <c r="N235">
        <f t="shared" ref="N235:N238" si="98">+I235-M235</f>
        <v>16.764705882352928</v>
      </c>
    </row>
    <row r="236" spans="1:14" ht="15" customHeight="1" x14ac:dyDescent="0.25">
      <c r="A236">
        <v>235</v>
      </c>
      <c r="B236" s="1">
        <v>43846</v>
      </c>
      <c r="C236" t="s">
        <v>8</v>
      </c>
      <c r="D236" t="s">
        <v>55</v>
      </c>
      <c r="F236" t="s">
        <v>22</v>
      </c>
      <c r="G236">
        <f>36/17</f>
        <v>2.1176470588235294</v>
      </c>
      <c r="H236">
        <v>290</v>
      </c>
      <c r="I236">
        <f t="shared" si="81"/>
        <v>614.11764705882354</v>
      </c>
      <c r="J236" t="s">
        <v>13</v>
      </c>
      <c r="K236">
        <v>271</v>
      </c>
      <c r="M236">
        <f t="shared" si="97"/>
        <v>573.88235294117646</v>
      </c>
      <c r="N236">
        <f t="shared" si="98"/>
        <v>40.235294117647072</v>
      </c>
    </row>
    <row r="237" spans="1:14" ht="15" customHeight="1" x14ac:dyDescent="0.25">
      <c r="A237">
        <v>236</v>
      </c>
      <c r="B237" s="1">
        <v>43846</v>
      </c>
      <c r="C237" t="s">
        <v>8</v>
      </c>
      <c r="D237" t="s">
        <v>15</v>
      </c>
      <c r="F237" t="s">
        <v>131</v>
      </c>
      <c r="G237">
        <v>1</v>
      </c>
      <c r="H237">
        <v>290</v>
      </c>
      <c r="I237">
        <f t="shared" si="81"/>
        <v>290</v>
      </c>
      <c r="J237" t="s">
        <v>13</v>
      </c>
      <c r="K237">
        <v>271</v>
      </c>
      <c r="M237">
        <f t="shared" si="97"/>
        <v>271</v>
      </c>
      <c r="N237">
        <f t="shared" si="98"/>
        <v>19</v>
      </c>
    </row>
    <row r="238" spans="1:14" ht="15" customHeight="1" x14ac:dyDescent="0.25">
      <c r="A238">
        <v>237</v>
      </c>
      <c r="B238" s="1">
        <v>43846</v>
      </c>
      <c r="C238" t="s">
        <v>8</v>
      </c>
      <c r="D238" t="s">
        <v>15</v>
      </c>
      <c r="F238" t="s">
        <v>131</v>
      </c>
      <c r="G238">
        <f>2/9</f>
        <v>0.22222222222222221</v>
      </c>
      <c r="H238">
        <v>290</v>
      </c>
      <c r="I238">
        <f t="shared" si="81"/>
        <v>64.444444444444443</v>
      </c>
      <c r="J238" t="s">
        <v>13</v>
      </c>
      <c r="K238">
        <v>271</v>
      </c>
      <c r="M238">
        <f t="shared" si="97"/>
        <v>60.222222222222221</v>
      </c>
      <c r="N238">
        <f t="shared" si="98"/>
        <v>4.2222222222222214</v>
      </c>
    </row>
    <row r="239" spans="1:14" ht="15" customHeight="1" x14ac:dyDescent="0.25">
      <c r="A239">
        <v>238</v>
      </c>
      <c r="B239" s="1">
        <v>43847</v>
      </c>
      <c r="C239" t="s">
        <v>8</v>
      </c>
      <c r="D239" t="s">
        <v>15</v>
      </c>
      <c r="F239" t="s">
        <v>80</v>
      </c>
      <c r="G239">
        <f>3/4</f>
        <v>0.75</v>
      </c>
      <c r="H239">
        <v>240</v>
      </c>
      <c r="I239">
        <f t="shared" si="81"/>
        <v>180</v>
      </c>
      <c r="J239" t="s">
        <v>163</v>
      </c>
      <c r="K239">
        <v>212</v>
      </c>
      <c r="M239">
        <f>+K239*G239</f>
        <v>159</v>
      </c>
      <c r="N239">
        <f>+I239-M239</f>
        <v>21</v>
      </c>
    </row>
    <row r="240" spans="1:14" ht="15" customHeight="1" x14ac:dyDescent="0.25">
      <c r="A240">
        <v>239</v>
      </c>
      <c r="B240" s="1">
        <v>43847</v>
      </c>
      <c r="C240" t="s">
        <v>8</v>
      </c>
      <c r="D240" t="s">
        <v>93</v>
      </c>
      <c r="F240" t="s">
        <v>25</v>
      </c>
      <c r="G240">
        <v>1</v>
      </c>
      <c r="H240">
        <v>60</v>
      </c>
      <c r="I240">
        <f t="shared" si="81"/>
        <v>60</v>
      </c>
      <c r="J240" t="s">
        <v>165</v>
      </c>
      <c r="K240">
        <f>380/12</f>
        <v>31.666666666666668</v>
      </c>
      <c r="M240">
        <f>+K240*G240</f>
        <v>31.666666666666668</v>
      </c>
      <c r="N240">
        <f>+I240-M240</f>
        <v>28.333333333333332</v>
      </c>
    </row>
    <row r="241" spans="1:14" ht="15" customHeight="1" x14ac:dyDescent="0.25">
      <c r="A241">
        <v>240</v>
      </c>
      <c r="B241" s="1">
        <v>43847</v>
      </c>
      <c r="C241" t="s">
        <v>8</v>
      </c>
      <c r="D241" t="s">
        <v>15</v>
      </c>
      <c r="F241" t="s">
        <v>33</v>
      </c>
      <c r="G241">
        <v>33</v>
      </c>
      <c r="H241">
        <v>230</v>
      </c>
      <c r="I241">
        <f t="shared" si="81"/>
        <v>7590</v>
      </c>
      <c r="J241" t="s">
        <v>163</v>
      </c>
      <c r="K241">
        <v>182</v>
      </c>
      <c r="M241">
        <f>+K241*G241</f>
        <v>6006</v>
      </c>
      <c r="N241">
        <f>+I241-M241</f>
        <v>1584</v>
      </c>
    </row>
    <row r="242" spans="1:14" ht="15" customHeight="1" x14ac:dyDescent="0.25">
      <c r="A242">
        <v>241</v>
      </c>
      <c r="B242" s="1">
        <v>43847</v>
      </c>
      <c r="C242" t="s">
        <v>8</v>
      </c>
      <c r="D242" t="s">
        <v>55</v>
      </c>
      <c r="F242" t="s">
        <v>22</v>
      </c>
      <c r="G242">
        <v>1</v>
      </c>
      <c r="H242">
        <v>290</v>
      </c>
      <c r="I242">
        <f t="shared" si="81"/>
        <v>290</v>
      </c>
      <c r="J242" t="s">
        <v>13</v>
      </c>
      <c r="K242">
        <v>271</v>
      </c>
      <c r="M242">
        <f>+K242*G242</f>
        <v>271</v>
      </c>
      <c r="N242">
        <f>+I242-M242</f>
        <v>19</v>
      </c>
    </row>
    <row r="243" spans="1:14" ht="15" customHeight="1" x14ac:dyDescent="0.25">
      <c r="A243">
        <v>242</v>
      </c>
      <c r="B243" s="1">
        <v>43847</v>
      </c>
      <c r="C243" t="s">
        <v>8</v>
      </c>
      <c r="D243" t="s">
        <v>56</v>
      </c>
      <c r="F243" t="s">
        <v>38</v>
      </c>
      <c r="G243">
        <v>1</v>
      </c>
      <c r="H243">
        <v>110</v>
      </c>
      <c r="I243">
        <f t="shared" si="81"/>
        <v>110</v>
      </c>
      <c r="J243" t="s">
        <v>164</v>
      </c>
      <c r="K243">
        <v>70</v>
      </c>
      <c r="M243">
        <f>+K243*G243</f>
        <v>70</v>
      </c>
      <c r="N243">
        <f>+I243-M243</f>
        <v>40</v>
      </c>
    </row>
    <row r="244" spans="1:14" ht="15" customHeight="1" x14ac:dyDescent="0.25">
      <c r="A244">
        <v>243</v>
      </c>
      <c r="B244" s="1">
        <v>43847</v>
      </c>
      <c r="C244" t="s">
        <v>8</v>
      </c>
      <c r="D244" t="s">
        <v>55</v>
      </c>
      <c r="F244" t="s">
        <v>111</v>
      </c>
      <c r="G244">
        <v>1</v>
      </c>
      <c r="H244">
        <v>290</v>
      </c>
      <c r="I244">
        <f t="shared" si="81"/>
        <v>290</v>
      </c>
      <c r="J244" t="s">
        <v>13</v>
      </c>
      <c r="K244">
        <v>271</v>
      </c>
      <c r="M244">
        <f t="shared" ref="M244:M245" si="99">+K244*G244</f>
        <v>271</v>
      </c>
      <c r="N244">
        <f t="shared" ref="N244:N245" si="100">+I244-M244</f>
        <v>19</v>
      </c>
    </row>
    <row r="245" spans="1:14" ht="15" customHeight="1" x14ac:dyDescent="0.25">
      <c r="A245">
        <v>244</v>
      </c>
      <c r="B245" s="1">
        <v>43847</v>
      </c>
      <c r="C245" t="s">
        <v>8</v>
      </c>
      <c r="D245" t="s">
        <v>55</v>
      </c>
      <c r="F245" t="s">
        <v>22</v>
      </c>
      <c r="G245">
        <f>12/17</f>
        <v>0.70588235294117652</v>
      </c>
      <c r="H245">
        <v>290</v>
      </c>
      <c r="I245">
        <f t="shared" si="81"/>
        <v>204.70588235294119</v>
      </c>
      <c r="J245" t="s">
        <v>13</v>
      </c>
      <c r="K245">
        <v>271</v>
      </c>
      <c r="M245">
        <f t="shared" si="99"/>
        <v>191.29411764705884</v>
      </c>
      <c r="N245">
        <f t="shared" si="100"/>
        <v>13.411764705882348</v>
      </c>
    </row>
    <row r="246" spans="1:14" ht="15" customHeight="1" x14ac:dyDescent="0.25">
      <c r="A246">
        <v>245</v>
      </c>
      <c r="B246" s="1">
        <v>43847</v>
      </c>
      <c r="C246" t="s">
        <v>8</v>
      </c>
      <c r="D246" t="s">
        <v>25</v>
      </c>
      <c r="F246" t="s">
        <v>25</v>
      </c>
      <c r="G246">
        <v>1</v>
      </c>
      <c r="H246">
        <v>60</v>
      </c>
      <c r="I246">
        <f t="shared" si="81"/>
        <v>60</v>
      </c>
      <c r="J246" t="s">
        <v>165</v>
      </c>
      <c r="K246">
        <f>380/12</f>
        <v>31.666666666666668</v>
      </c>
      <c r="M246">
        <f>+K246*G246</f>
        <v>31.666666666666668</v>
      </c>
      <c r="N246">
        <f>+I246-M246</f>
        <v>28.333333333333332</v>
      </c>
    </row>
    <row r="247" spans="1:14" ht="15" customHeight="1" x14ac:dyDescent="0.25">
      <c r="A247">
        <v>246</v>
      </c>
      <c r="B247" s="1">
        <v>43847</v>
      </c>
      <c r="C247" t="s">
        <v>8</v>
      </c>
      <c r="D247" t="s">
        <v>56</v>
      </c>
      <c r="F247" t="s">
        <v>267</v>
      </c>
      <c r="G247">
        <v>2</v>
      </c>
      <c r="H247">
        <v>180</v>
      </c>
      <c r="I247">
        <f t="shared" si="81"/>
        <v>360</v>
      </c>
      <c r="J247" t="s">
        <v>163</v>
      </c>
      <c r="K247">
        <v>130</v>
      </c>
      <c r="M247">
        <f t="shared" ref="M247:M248" si="101">+K247*G247</f>
        <v>260</v>
      </c>
      <c r="N247">
        <f t="shared" ref="N247:N248" si="102">+I247-M247</f>
        <v>100</v>
      </c>
    </row>
    <row r="248" spans="1:14" ht="15" customHeight="1" x14ac:dyDescent="0.25">
      <c r="A248">
        <v>247</v>
      </c>
      <c r="B248" s="1">
        <v>43847</v>
      </c>
      <c r="C248" t="s">
        <v>8</v>
      </c>
      <c r="D248" t="s">
        <v>15</v>
      </c>
      <c r="F248" t="s">
        <v>96</v>
      </c>
      <c r="G248">
        <v>10.5</v>
      </c>
      <c r="H248">
        <v>230</v>
      </c>
      <c r="I248">
        <f t="shared" si="81"/>
        <v>2415</v>
      </c>
      <c r="J248" t="s">
        <v>163</v>
      </c>
      <c r="K248">
        <v>182</v>
      </c>
      <c r="M248">
        <f t="shared" si="101"/>
        <v>1911</v>
      </c>
      <c r="N248">
        <f t="shared" si="102"/>
        <v>504</v>
      </c>
    </row>
    <row r="249" spans="1:14" ht="15" customHeight="1" x14ac:dyDescent="0.25">
      <c r="A249">
        <v>248</v>
      </c>
      <c r="B249" s="1">
        <v>43847</v>
      </c>
      <c r="C249" t="s">
        <v>8</v>
      </c>
      <c r="D249" t="s">
        <v>56</v>
      </c>
      <c r="F249" t="s">
        <v>38</v>
      </c>
      <c r="G249">
        <v>8</v>
      </c>
      <c r="H249">
        <v>110</v>
      </c>
      <c r="I249">
        <f t="shared" si="81"/>
        <v>880</v>
      </c>
      <c r="J249" t="s">
        <v>164</v>
      </c>
      <c r="K249">
        <v>70</v>
      </c>
      <c r="M249">
        <f>+K249*G249</f>
        <v>560</v>
      </c>
      <c r="N249">
        <f>+I249-M249</f>
        <v>320</v>
      </c>
    </row>
    <row r="250" spans="1:14" ht="15" customHeight="1" x14ac:dyDescent="0.25">
      <c r="A250">
        <v>249</v>
      </c>
      <c r="B250" s="1">
        <v>43847</v>
      </c>
      <c r="C250" t="s">
        <v>8</v>
      </c>
      <c r="D250" t="s">
        <v>24</v>
      </c>
      <c r="F250" t="s">
        <v>24</v>
      </c>
      <c r="G250">
        <v>1</v>
      </c>
      <c r="H250">
        <v>100</v>
      </c>
      <c r="I250">
        <f t="shared" si="81"/>
        <v>100</v>
      </c>
      <c r="J250" t="s">
        <v>186</v>
      </c>
      <c r="K250">
        <v>85.42</v>
      </c>
      <c r="M250">
        <f>+K250*G250</f>
        <v>85.42</v>
      </c>
      <c r="N250">
        <f>+I250-M250</f>
        <v>14.579999999999998</v>
      </c>
    </row>
    <row r="251" spans="1:14" ht="15" customHeight="1" x14ac:dyDescent="0.25">
      <c r="A251">
        <v>250</v>
      </c>
      <c r="B251" s="1">
        <v>43847</v>
      </c>
      <c r="C251" t="s">
        <v>8</v>
      </c>
      <c r="D251" t="s">
        <v>15</v>
      </c>
      <c r="F251" t="s">
        <v>32</v>
      </c>
      <c r="G251">
        <v>2.5</v>
      </c>
      <c r="H251">
        <v>280</v>
      </c>
      <c r="I251">
        <f t="shared" si="81"/>
        <v>700</v>
      </c>
      <c r="J251" t="s">
        <v>163</v>
      </c>
      <c r="K251">
        <v>214</v>
      </c>
      <c r="M251">
        <f t="shared" ref="M251:M252" si="103">+K251*G251</f>
        <v>535</v>
      </c>
      <c r="N251">
        <f t="shared" ref="N251:N252" si="104">+I251-M251</f>
        <v>165</v>
      </c>
    </row>
    <row r="252" spans="1:14" ht="15" customHeight="1" x14ac:dyDescent="0.25">
      <c r="A252">
        <v>251</v>
      </c>
      <c r="B252" s="1">
        <v>43847</v>
      </c>
      <c r="C252" t="s">
        <v>8</v>
      </c>
      <c r="D252" t="s">
        <v>15</v>
      </c>
      <c r="F252" t="s">
        <v>132</v>
      </c>
      <c r="G252">
        <v>2.5</v>
      </c>
      <c r="H252">
        <v>280</v>
      </c>
      <c r="I252">
        <f t="shared" si="81"/>
        <v>700</v>
      </c>
      <c r="J252" t="s">
        <v>163</v>
      </c>
      <c r="K252">
        <v>227</v>
      </c>
      <c r="M252">
        <f t="shared" si="103"/>
        <v>567.5</v>
      </c>
      <c r="N252">
        <f t="shared" si="104"/>
        <v>132.5</v>
      </c>
    </row>
    <row r="253" spans="1:14" ht="15" customHeight="1" x14ac:dyDescent="0.25">
      <c r="A253">
        <v>252</v>
      </c>
      <c r="B253" s="1">
        <v>43847</v>
      </c>
      <c r="C253" t="s">
        <v>8</v>
      </c>
      <c r="D253" t="s">
        <v>55</v>
      </c>
      <c r="F253" t="s">
        <v>149</v>
      </c>
      <c r="G253">
        <v>3</v>
      </c>
      <c r="H253">
        <v>290</v>
      </c>
      <c r="I253">
        <f t="shared" si="81"/>
        <v>870</v>
      </c>
      <c r="J253" t="s">
        <v>13</v>
      </c>
      <c r="K253">
        <v>271</v>
      </c>
      <c r="M253">
        <f t="shared" ref="M253:M255" si="105">+K253*G253</f>
        <v>813</v>
      </c>
      <c r="N253">
        <f t="shared" ref="N253:N255" si="106">+I253-M253</f>
        <v>57</v>
      </c>
    </row>
    <row r="254" spans="1:14" ht="15" customHeight="1" x14ac:dyDescent="0.25">
      <c r="A254">
        <v>253</v>
      </c>
      <c r="B254" s="1">
        <v>43847</v>
      </c>
      <c r="C254" t="s">
        <v>8</v>
      </c>
      <c r="D254" t="s">
        <v>55</v>
      </c>
      <c r="F254" t="s">
        <v>89</v>
      </c>
      <c r="G254">
        <f>10/17</f>
        <v>0.58823529411764708</v>
      </c>
      <c r="H254">
        <v>290</v>
      </c>
      <c r="I254">
        <f t="shared" si="81"/>
        <v>170.58823529411765</v>
      </c>
      <c r="J254" t="s">
        <v>13</v>
      </c>
      <c r="K254">
        <v>271</v>
      </c>
      <c r="M254">
        <f t="shared" si="105"/>
        <v>159.41176470588235</v>
      </c>
      <c r="N254">
        <f t="shared" si="106"/>
        <v>11.176470588235304</v>
      </c>
    </row>
    <row r="255" spans="1:14" ht="15" customHeight="1" x14ac:dyDescent="0.25">
      <c r="A255">
        <v>254</v>
      </c>
      <c r="B255" s="1">
        <v>43847</v>
      </c>
      <c r="C255" t="s">
        <v>8</v>
      </c>
      <c r="D255" t="s">
        <v>55</v>
      </c>
      <c r="F255" t="s">
        <v>39</v>
      </c>
      <c r="G255">
        <f>10/17</f>
        <v>0.58823529411764708</v>
      </c>
      <c r="H255">
        <v>290</v>
      </c>
      <c r="I255">
        <f t="shared" si="81"/>
        <v>170.58823529411765</v>
      </c>
      <c r="J255" t="s">
        <v>13</v>
      </c>
      <c r="K255">
        <v>271</v>
      </c>
      <c r="M255">
        <f t="shared" si="105"/>
        <v>159.41176470588235</v>
      </c>
      <c r="N255">
        <f t="shared" si="106"/>
        <v>11.176470588235304</v>
      </c>
    </row>
    <row r="256" spans="1:14" ht="15" customHeight="1" x14ac:dyDescent="0.25">
      <c r="A256">
        <v>255</v>
      </c>
      <c r="B256" s="1">
        <v>43847</v>
      </c>
      <c r="C256" t="s">
        <v>8</v>
      </c>
      <c r="D256" t="s">
        <v>56</v>
      </c>
      <c r="F256" t="s">
        <v>267</v>
      </c>
      <c r="G256">
        <v>1</v>
      </c>
      <c r="H256">
        <v>180</v>
      </c>
      <c r="I256">
        <f t="shared" si="81"/>
        <v>180</v>
      </c>
      <c r="J256" t="s">
        <v>163</v>
      </c>
      <c r="K256">
        <v>130</v>
      </c>
      <c r="M256">
        <f>+K256*G256</f>
        <v>130</v>
      </c>
      <c r="N256">
        <f>+I256-M256</f>
        <v>50</v>
      </c>
    </row>
    <row r="257" spans="1:14" ht="15" customHeight="1" x14ac:dyDescent="0.25">
      <c r="A257">
        <v>256</v>
      </c>
      <c r="B257" s="1">
        <v>43847</v>
      </c>
      <c r="C257" t="s">
        <v>8</v>
      </c>
      <c r="D257" t="s">
        <v>25</v>
      </c>
      <c r="F257" t="s">
        <v>25</v>
      </c>
      <c r="G257">
        <v>1</v>
      </c>
      <c r="H257">
        <v>60</v>
      </c>
      <c r="I257">
        <f t="shared" si="81"/>
        <v>60</v>
      </c>
      <c r="J257" t="s">
        <v>165</v>
      </c>
      <c r="K257">
        <f>380/12</f>
        <v>31.666666666666668</v>
      </c>
      <c r="M257">
        <f>+K257*G257</f>
        <v>31.666666666666668</v>
      </c>
      <c r="N257">
        <f>+I257-M257</f>
        <v>28.333333333333332</v>
      </c>
    </row>
    <row r="258" spans="1:14" ht="15" customHeight="1" x14ac:dyDescent="0.25">
      <c r="A258">
        <v>257</v>
      </c>
      <c r="B258" s="1">
        <v>43847</v>
      </c>
      <c r="C258" t="s">
        <v>8</v>
      </c>
      <c r="D258" t="s">
        <v>15</v>
      </c>
      <c r="F258" t="s">
        <v>54</v>
      </c>
      <c r="G258">
        <v>60</v>
      </c>
      <c r="H258">
        <v>240</v>
      </c>
      <c r="I258">
        <f t="shared" si="81"/>
        <v>14400</v>
      </c>
      <c r="J258" t="s">
        <v>163</v>
      </c>
      <c r="K258">
        <v>212</v>
      </c>
      <c r="M258">
        <f>+K258*G258</f>
        <v>12720</v>
      </c>
      <c r="N258">
        <f>+I258-M258</f>
        <v>1680</v>
      </c>
    </row>
    <row r="259" spans="1:14" ht="15" customHeight="1" x14ac:dyDescent="0.25">
      <c r="A259">
        <v>258</v>
      </c>
      <c r="B259" s="1">
        <v>43848</v>
      </c>
      <c r="C259" t="s">
        <v>8</v>
      </c>
      <c r="D259" t="s">
        <v>78</v>
      </c>
      <c r="F259" t="s">
        <v>79</v>
      </c>
      <c r="G259">
        <v>1</v>
      </c>
      <c r="H259">
        <v>1550</v>
      </c>
      <c r="I259">
        <f t="shared" ref="I259:I322" si="107">+G259*H259</f>
        <v>1550</v>
      </c>
      <c r="J259" t="s">
        <v>167</v>
      </c>
      <c r="K259">
        <v>1330</v>
      </c>
      <c r="M259">
        <f>+K259*G259</f>
        <v>1330</v>
      </c>
      <c r="N259">
        <f>+I259-M183:M259</f>
        <v>220</v>
      </c>
    </row>
    <row r="260" spans="1:14" ht="15" customHeight="1" x14ac:dyDescent="0.25">
      <c r="A260">
        <v>259</v>
      </c>
      <c r="B260" s="1">
        <v>43848</v>
      </c>
      <c r="C260" t="s">
        <v>8</v>
      </c>
      <c r="D260" t="s">
        <v>55</v>
      </c>
      <c r="F260" t="s">
        <v>149</v>
      </c>
      <c r="G260">
        <v>3</v>
      </c>
      <c r="H260">
        <v>290</v>
      </c>
      <c r="I260">
        <f t="shared" si="107"/>
        <v>870</v>
      </c>
      <c r="J260" t="s">
        <v>13</v>
      </c>
      <c r="K260">
        <v>271</v>
      </c>
      <c r="M260">
        <f>+K260*G260</f>
        <v>813</v>
      </c>
      <c r="N260">
        <f>+I260-M260</f>
        <v>57</v>
      </c>
    </row>
    <row r="261" spans="1:14" ht="15" customHeight="1" x14ac:dyDescent="0.25">
      <c r="A261">
        <v>260</v>
      </c>
      <c r="B261" s="1">
        <v>43848</v>
      </c>
      <c r="C261" t="s">
        <v>8</v>
      </c>
      <c r="D261" t="s">
        <v>15</v>
      </c>
      <c r="F261" t="s">
        <v>54</v>
      </c>
      <c r="G261">
        <v>12</v>
      </c>
      <c r="H261">
        <v>240</v>
      </c>
      <c r="I261">
        <f t="shared" si="107"/>
        <v>2880</v>
      </c>
      <c r="J261" t="s">
        <v>163</v>
      </c>
      <c r="K261">
        <v>212</v>
      </c>
      <c r="M261">
        <f t="shared" ref="M261:M262" si="108">+K261*G261</f>
        <v>2544</v>
      </c>
      <c r="N261">
        <f t="shared" ref="N261:N262" si="109">+I261-M261</f>
        <v>336</v>
      </c>
    </row>
    <row r="262" spans="1:14" ht="15" customHeight="1" x14ac:dyDescent="0.25">
      <c r="A262">
        <v>261</v>
      </c>
      <c r="B262" s="1">
        <v>43848</v>
      </c>
      <c r="C262" t="s">
        <v>8</v>
      </c>
      <c r="D262" t="s">
        <v>56</v>
      </c>
      <c r="F262" t="s">
        <v>267</v>
      </c>
      <c r="G262">
        <v>9</v>
      </c>
      <c r="H262">
        <v>170</v>
      </c>
      <c r="I262">
        <f t="shared" si="107"/>
        <v>1530</v>
      </c>
      <c r="J262" t="s">
        <v>163</v>
      </c>
      <c r="K262">
        <v>130</v>
      </c>
      <c r="M262">
        <f t="shared" si="108"/>
        <v>1170</v>
      </c>
      <c r="N262">
        <f t="shared" si="109"/>
        <v>360</v>
      </c>
    </row>
    <row r="263" spans="1:14" ht="15" customHeight="1" x14ac:dyDescent="0.25">
      <c r="A263">
        <v>262</v>
      </c>
      <c r="B263" s="1">
        <v>43848</v>
      </c>
      <c r="C263" t="s">
        <v>8</v>
      </c>
      <c r="D263" t="s">
        <v>25</v>
      </c>
      <c r="F263" t="s">
        <v>130</v>
      </c>
      <c r="G263">
        <v>3</v>
      </c>
      <c r="H263">
        <v>60</v>
      </c>
      <c r="I263">
        <f t="shared" si="107"/>
        <v>180</v>
      </c>
      <c r="J263" t="s">
        <v>165</v>
      </c>
      <c r="K263">
        <f>380/12</f>
        <v>31.666666666666668</v>
      </c>
      <c r="M263">
        <f>+K263*G263</f>
        <v>95</v>
      </c>
      <c r="N263">
        <f>+I263-M263</f>
        <v>85</v>
      </c>
    </row>
    <row r="264" spans="1:14" ht="15" customHeight="1" x14ac:dyDescent="0.25">
      <c r="A264">
        <v>263</v>
      </c>
      <c r="B264" s="1">
        <v>43848</v>
      </c>
      <c r="C264" t="s">
        <v>8</v>
      </c>
      <c r="D264" t="s">
        <v>44</v>
      </c>
      <c r="F264" t="s">
        <v>133</v>
      </c>
      <c r="G264">
        <v>1</v>
      </c>
      <c r="H264">
        <v>35</v>
      </c>
      <c r="I264">
        <f t="shared" si="107"/>
        <v>35</v>
      </c>
      <c r="J264" t="s">
        <v>166</v>
      </c>
      <c r="K264">
        <v>20</v>
      </c>
      <c r="M264">
        <f t="shared" ref="M264" si="110">+K264*G264</f>
        <v>20</v>
      </c>
      <c r="N264">
        <f t="shared" ref="N264" si="111">+I264-M264</f>
        <v>15</v>
      </c>
    </row>
    <row r="265" spans="1:14" ht="15" customHeight="1" x14ac:dyDescent="0.25">
      <c r="A265">
        <v>264</v>
      </c>
      <c r="B265" s="1">
        <v>43848</v>
      </c>
      <c r="C265" t="s">
        <v>8</v>
      </c>
      <c r="D265" t="s">
        <v>24</v>
      </c>
      <c r="F265" t="s">
        <v>24</v>
      </c>
      <c r="G265">
        <v>1</v>
      </c>
      <c r="H265">
        <v>100</v>
      </c>
      <c r="I265">
        <f t="shared" si="107"/>
        <v>100</v>
      </c>
      <c r="J265" t="s">
        <v>186</v>
      </c>
      <c r="K265">
        <v>85.42</v>
      </c>
      <c r="M265">
        <f>+K265*G265</f>
        <v>85.42</v>
      </c>
      <c r="N265">
        <f>+I265-M265</f>
        <v>14.579999999999998</v>
      </c>
    </row>
    <row r="266" spans="1:14" ht="15" customHeight="1" x14ac:dyDescent="0.25">
      <c r="A266">
        <v>265</v>
      </c>
      <c r="B266" s="1">
        <v>43848</v>
      </c>
      <c r="C266" t="s">
        <v>8</v>
      </c>
      <c r="D266" t="s">
        <v>15</v>
      </c>
      <c r="F266" t="s">
        <v>33</v>
      </c>
      <c r="G266">
        <v>2.5</v>
      </c>
      <c r="H266">
        <v>230</v>
      </c>
      <c r="I266">
        <f t="shared" si="107"/>
        <v>575</v>
      </c>
      <c r="J266" t="s">
        <v>163</v>
      </c>
      <c r="K266">
        <v>182</v>
      </c>
      <c r="M266">
        <f t="shared" ref="M266:M267" si="112">+K266*G266</f>
        <v>455</v>
      </c>
      <c r="N266">
        <f t="shared" ref="N266:N267" si="113">+I266-M266</f>
        <v>120</v>
      </c>
    </row>
    <row r="267" spans="1:14" ht="15" customHeight="1" x14ac:dyDescent="0.25">
      <c r="A267">
        <v>266</v>
      </c>
      <c r="B267" s="1">
        <v>43848</v>
      </c>
      <c r="C267" t="s">
        <v>8</v>
      </c>
      <c r="D267" t="s">
        <v>15</v>
      </c>
      <c r="F267" t="s">
        <v>20</v>
      </c>
      <c r="G267">
        <v>16.04</v>
      </c>
      <c r="H267">
        <v>235</v>
      </c>
      <c r="I267">
        <f t="shared" si="107"/>
        <v>3769.3999999999996</v>
      </c>
      <c r="J267" t="s">
        <v>163</v>
      </c>
      <c r="K267">
        <v>216</v>
      </c>
      <c r="M267">
        <f t="shared" si="112"/>
        <v>3464.64</v>
      </c>
      <c r="N267">
        <f t="shared" si="113"/>
        <v>304.75999999999976</v>
      </c>
    </row>
    <row r="268" spans="1:14" ht="15" customHeight="1" x14ac:dyDescent="0.25">
      <c r="A268">
        <v>267</v>
      </c>
      <c r="B268" s="1">
        <v>43848</v>
      </c>
      <c r="C268" t="s">
        <v>8</v>
      </c>
      <c r="D268" t="s">
        <v>55</v>
      </c>
      <c r="F268" t="s">
        <v>134</v>
      </c>
      <c r="G268">
        <f>1/12</f>
        <v>8.3333333333333329E-2</v>
      </c>
      <c r="H268">
        <v>290</v>
      </c>
      <c r="I268">
        <f t="shared" si="107"/>
        <v>24.166666666666664</v>
      </c>
      <c r="J268" t="s">
        <v>13</v>
      </c>
      <c r="K268">
        <v>271</v>
      </c>
      <c r="M268">
        <f>+K268*G268</f>
        <v>22.583333333333332</v>
      </c>
      <c r="N268">
        <f>+I268-M268</f>
        <v>1.5833333333333321</v>
      </c>
    </row>
    <row r="269" spans="1:14" ht="15" customHeight="1" x14ac:dyDescent="0.25">
      <c r="A269">
        <v>268</v>
      </c>
      <c r="B269" s="1">
        <v>43848</v>
      </c>
      <c r="C269" t="s">
        <v>8</v>
      </c>
      <c r="D269" t="s">
        <v>78</v>
      </c>
      <c r="F269" t="s">
        <v>42</v>
      </c>
      <c r="G269">
        <v>1</v>
      </c>
      <c r="H269">
        <v>90</v>
      </c>
      <c r="I269">
        <f t="shared" si="107"/>
        <v>90</v>
      </c>
      <c r="J269" t="s">
        <v>166</v>
      </c>
      <c r="K269">
        <v>67</v>
      </c>
      <c r="M269">
        <f t="shared" ref="M269" si="114">+K269*G269</f>
        <v>67</v>
      </c>
      <c r="N269">
        <f t="shared" ref="N269" si="115">+I269-M269</f>
        <v>23</v>
      </c>
    </row>
    <row r="270" spans="1:14" ht="15" customHeight="1" x14ac:dyDescent="0.25">
      <c r="A270">
        <v>269</v>
      </c>
      <c r="B270" s="1">
        <v>43850</v>
      </c>
      <c r="C270" t="s">
        <v>8</v>
      </c>
      <c r="D270" t="s">
        <v>56</v>
      </c>
      <c r="F270" t="s">
        <v>38</v>
      </c>
      <c r="G270">
        <v>1</v>
      </c>
      <c r="H270">
        <v>110</v>
      </c>
      <c r="I270">
        <f t="shared" si="107"/>
        <v>110</v>
      </c>
      <c r="J270" t="s">
        <v>164</v>
      </c>
      <c r="K270">
        <v>70</v>
      </c>
      <c r="M270">
        <f>+K270*G270</f>
        <v>70</v>
      </c>
      <c r="N270">
        <f>+I270-M270</f>
        <v>40</v>
      </c>
    </row>
    <row r="271" spans="1:14" ht="15" customHeight="1" x14ac:dyDescent="0.25">
      <c r="A271">
        <v>270</v>
      </c>
      <c r="B271" s="1">
        <v>43850</v>
      </c>
      <c r="C271" t="s">
        <v>8</v>
      </c>
      <c r="D271" t="s">
        <v>25</v>
      </c>
      <c r="F271" t="s">
        <v>60</v>
      </c>
      <c r="G271">
        <v>3</v>
      </c>
      <c r="H271">
        <v>60</v>
      </c>
      <c r="I271">
        <f t="shared" si="107"/>
        <v>180</v>
      </c>
      <c r="J271" t="s">
        <v>165</v>
      </c>
      <c r="K271">
        <f t="shared" ref="K271:K272" si="116">380/12</f>
        <v>31.666666666666668</v>
      </c>
      <c r="M271">
        <f t="shared" ref="M271:M272" si="117">+K271*G271</f>
        <v>95</v>
      </c>
      <c r="N271">
        <f t="shared" ref="N271:N272" si="118">+I271-M271</f>
        <v>85</v>
      </c>
    </row>
    <row r="272" spans="1:14" ht="15" customHeight="1" x14ac:dyDescent="0.25">
      <c r="A272">
        <v>271</v>
      </c>
      <c r="B272" s="1">
        <v>43850</v>
      </c>
      <c r="C272" t="s">
        <v>8</v>
      </c>
      <c r="D272" t="s">
        <v>25</v>
      </c>
      <c r="F272" t="s">
        <v>127</v>
      </c>
      <c r="G272">
        <v>3</v>
      </c>
      <c r="H272">
        <v>60</v>
      </c>
      <c r="I272">
        <f t="shared" si="107"/>
        <v>180</v>
      </c>
      <c r="J272" t="s">
        <v>165</v>
      </c>
      <c r="K272">
        <f t="shared" si="116"/>
        <v>31.666666666666668</v>
      </c>
      <c r="M272">
        <f t="shared" si="117"/>
        <v>95</v>
      </c>
      <c r="N272">
        <f t="shared" si="118"/>
        <v>85</v>
      </c>
    </row>
    <row r="273" spans="1:14" ht="15" customHeight="1" x14ac:dyDescent="0.25">
      <c r="A273">
        <v>272</v>
      </c>
      <c r="B273" s="1">
        <v>43850</v>
      </c>
      <c r="C273" t="s">
        <v>8</v>
      </c>
      <c r="D273" t="s">
        <v>55</v>
      </c>
      <c r="F273" t="s">
        <v>135</v>
      </c>
      <c r="G273">
        <f>6/17</f>
        <v>0.35294117647058826</v>
      </c>
      <c r="H273">
        <v>290</v>
      </c>
      <c r="I273">
        <f t="shared" si="107"/>
        <v>102.35294117647059</v>
      </c>
      <c r="J273" t="s">
        <v>13</v>
      </c>
      <c r="K273">
        <v>271</v>
      </c>
      <c r="M273">
        <f>+K273*G273</f>
        <v>95.64705882352942</v>
      </c>
      <c r="N273">
        <f>+I273-M273</f>
        <v>6.705882352941174</v>
      </c>
    </row>
    <row r="274" spans="1:14" ht="15" customHeight="1" x14ac:dyDescent="0.25">
      <c r="A274">
        <v>273</v>
      </c>
      <c r="B274" s="1">
        <v>43850</v>
      </c>
      <c r="C274" t="s">
        <v>8</v>
      </c>
      <c r="D274" t="s">
        <v>15</v>
      </c>
      <c r="F274" t="s">
        <v>76</v>
      </c>
      <c r="G274">
        <v>1</v>
      </c>
      <c r="H274">
        <v>230</v>
      </c>
      <c r="I274">
        <f t="shared" si="107"/>
        <v>230</v>
      </c>
      <c r="J274" t="s">
        <v>163</v>
      </c>
      <c r="K274">
        <v>176</v>
      </c>
      <c r="M274">
        <f t="shared" ref="M274:M275" si="119">+K274*G274</f>
        <v>176</v>
      </c>
      <c r="N274">
        <f t="shared" ref="N274:N275" si="120">+I274-M274</f>
        <v>54</v>
      </c>
    </row>
    <row r="275" spans="1:14" ht="15" customHeight="1" x14ac:dyDescent="0.25">
      <c r="A275">
        <v>274</v>
      </c>
      <c r="B275" s="1">
        <v>43850</v>
      </c>
      <c r="C275" t="s">
        <v>8</v>
      </c>
      <c r="D275" t="s">
        <v>15</v>
      </c>
      <c r="F275" t="s">
        <v>76</v>
      </c>
      <c r="G275">
        <f>2/8</f>
        <v>0.25</v>
      </c>
      <c r="H275">
        <v>230</v>
      </c>
      <c r="I275">
        <f t="shared" si="107"/>
        <v>57.5</v>
      </c>
      <c r="J275" t="s">
        <v>163</v>
      </c>
      <c r="K275">
        <v>176</v>
      </c>
      <c r="M275">
        <f t="shared" si="119"/>
        <v>44</v>
      </c>
      <c r="N275">
        <f t="shared" si="120"/>
        <v>13.5</v>
      </c>
    </row>
    <row r="276" spans="1:14" ht="15" customHeight="1" x14ac:dyDescent="0.25">
      <c r="A276">
        <v>275</v>
      </c>
      <c r="B276" s="1">
        <v>43850</v>
      </c>
      <c r="C276" t="s">
        <v>8</v>
      </c>
      <c r="D276" t="s">
        <v>56</v>
      </c>
      <c r="F276" t="s">
        <v>38</v>
      </c>
      <c r="G276">
        <v>1</v>
      </c>
      <c r="H276">
        <v>110</v>
      </c>
      <c r="I276">
        <f t="shared" si="107"/>
        <v>110</v>
      </c>
      <c r="J276" t="s">
        <v>164</v>
      </c>
      <c r="K276">
        <v>70</v>
      </c>
      <c r="M276">
        <f>+K276*G276</f>
        <v>70</v>
      </c>
      <c r="N276">
        <f>+I276-M276</f>
        <v>40</v>
      </c>
    </row>
    <row r="277" spans="1:14" ht="15" customHeight="1" x14ac:dyDescent="0.25">
      <c r="A277">
        <v>276</v>
      </c>
      <c r="B277" s="1">
        <v>43850</v>
      </c>
      <c r="C277" t="s">
        <v>8</v>
      </c>
      <c r="D277" t="s">
        <v>25</v>
      </c>
      <c r="F277" t="s">
        <v>57</v>
      </c>
      <c r="G277">
        <v>1</v>
      </c>
      <c r="H277">
        <v>60</v>
      </c>
      <c r="I277">
        <f t="shared" si="107"/>
        <v>60</v>
      </c>
      <c r="J277" t="s">
        <v>165</v>
      </c>
      <c r="K277">
        <f>380/12</f>
        <v>31.666666666666668</v>
      </c>
      <c r="M277">
        <f>+K277*G277</f>
        <v>31.666666666666668</v>
      </c>
      <c r="N277">
        <f>+I277-M277</f>
        <v>28.333333333333332</v>
      </c>
    </row>
    <row r="278" spans="1:14" ht="15" customHeight="1" x14ac:dyDescent="0.25">
      <c r="A278">
        <v>277</v>
      </c>
      <c r="B278" s="1">
        <v>43850</v>
      </c>
      <c r="C278" t="s">
        <v>8</v>
      </c>
      <c r="D278" t="s">
        <v>55</v>
      </c>
      <c r="F278" t="s">
        <v>22</v>
      </c>
      <c r="G278">
        <f>2/17</f>
        <v>0.11764705882352941</v>
      </c>
      <c r="H278">
        <v>290</v>
      </c>
      <c r="I278">
        <f t="shared" si="107"/>
        <v>34.117647058823529</v>
      </c>
      <c r="J278" t="s">
        <v>13</v>
      </c>
      <c r="K278">
        <v>271</v>
      </c>
      <c r="M278">
        <f t="shared" ref="M278:M279" si="121">+K278*G278</f>
        <v>31.882352941176471</v>
      </c>
      <c r="N278">
        <f t="shared" ref="N278:N279" si="122">+I278-M278</f>
        <v>2.235294117647058</v>
      </c>
    </row>
    <row r="279" spans="1:14" ht="15" customHeight="1" x14ac:dyDescent="0.25">
      <c r="A279">
        <v>278</v>
      </c>
      <c r="B279" s="1">
        <v>43850</v>
      </c>
      <c r="C279" t="s">
        <v>8</v>
      </c>
      <c r="D279" t="s">
        <v>15</v>
      </c>
      <c r="F279" t="s">
        <v>110</v>
      </c>
      <c r="G279">
        <v>16</v>
      </c>
      <c r="H279">
        <v>290</v>
      </c>
      <c r="I279">
        <f t="shared" si="107"/>
        <v>4640</v>
      </c>
      <c r="J279" t="s">
        <v>13</v>
      </c>
      <c r="K279">
        <v>271</v>
      </c>
      <c r="M279">
        <f t="shared" si="121"/>
        <v>4336</v>
      </c>
      <c r="N279">
        <f t="shared" si="122"/>
        <v>304</v>
      </c>
    </row>
    <row r="280" spans="1:14" ht="15" customHeight="1" x14ac:dyDescent="0.25">
      <c r="A280">
        <v>279</v>
      </c>
      <c r="B280" s="1">
        <v>43850</v>
      </c>
      <c r="C280" t="s">
        <v>8</v>
      </c>
      <c r="D280" t="s">
        <v>56</v>
      </c>
      <c r="F280" t="s">
        <v>267</v>
      </c>
      <c r="G280">
        <v>3</v>
      </c>
      <c r="H280">
        <v>170</v>
      </c>
      <c r="I280">
        <f t="shared" si="107"/>
        <v>510</v>
      </c>
      <c r="J280" t="s">
        <v>163</v>
      </c>
      <c r="K280">
        <v>130</v>
      </c>
      <c r="M280">
        <f t="shared" ref="M280:M287" si="123">+K280*G280</f>
        <v>390</v>
      </c>
      <c r="N280">
        <f t="shared" ref="N280:N287" si="124">+I280-M280</f>
        <v>120</v>
      </c>
    </row>
    <row r="281" spans="1:14" ht="15" customHeight="1" x14ac:dyDescent="0.25">
      <c r="A281">
        <v>280</v>
      </c>
      <c r="B281" s="1">
        <v>43850</v>
      </c>
      <c r="C281" t="s">
        <v>8</v>
      </c>
      <c r="D281" t="s">
        <v>25</v>
      </c>
      <c r="F281" t="s">
        <v>60</v>
      </c>
      <c r="G281">
        <v>4</v>
      </c>
      <c r="H281">
        <v>60</v>
      </c>
      <c r="I281">
        <f t="shared" si="107"/>
        <v>240</v>
      </c>
      <c r="J281" t="s">
        <v>165</v>
      </c>
      <c r="K281">
        <f>380/12</f>
        <v>31.666666666666668</v>
      </c>
      <c r="M281">
        <f t="shared" si="123"/>
        <v>126.66666666666667</v>
      </c>
      <c r="N281">
        <f t="shared" si="124"/>
        <v>113.33333333333333</v>
      </c>
    </row>
    <row r="282" spans="1:14" ht="15" customHeight="1" x14ac:dyDescent="0.25">
      <c r="A282">
        <v>281</v>
      </c>
      <c r="B282" s="1">
        <v>43850</v>
      </c>
      <c r="C282" t="s">
        <v>8</v>
      </c>
      <c r="D282" t="s">
        <v>55</v>
      </c>
      <c r="F282" t="s">
        <v>22</v>
      </c>
      <c r="G282">
        <v>14</v>
      </c>
      <c r="H282">
        <v>290</v>
      </c>
      <c r="I282">
        <f t="shared" si="107"/>
        <v>4060</v>
      </c>
      <c r="J282" t="s">
        <v>13</v>
      </c>
      <c r="K282">
        <v>271</v>
      </c>
      <c r="M282">
        <f t="shared" si="123"/>
        <v>3794</v>
      </c>
      <c r="N282">
        <f t="shared" si="124"/>
        <v>266</v>
      </c>
    </row>
    <row r="283" spans="1:14" ht="15" customHeight="1" x14ac:dyDescent="0.25">
      <c r="A283">
        <v>282</v>
      </c>
      <c r="B283" s="1">
        <v>43850</v>
      </c>
      <c r="C283" t="s">
        <v>8</v>
      </c>
      <c r="D283" t="s">
        <v>44</v>
      </c>
      <c r="F283" t="s">
        <v>77</v>
      </c>
      <c r="G283">
        <v>1</v>
      </c>
      <c r="H283">
        <v>35</v>
      </c>
      <c r="I283">
        <f t="shared" si="107"/>
        <v>35</v>
      </c>
      <c r="J283" t="s">
        <v>166</v>
      </c>
      <c r="K283">
        <v>20</v>
      </c>
      <c r="M283">
        <f t="shared" si="123"/>
        <v>20</v>
      </c>
      <c r="N283">
        <f t="shared" si="124"/>
        <v>15</v>
      </c>
    </row>
    <row r="284" spans="1:14" ht="15" customHeight="1" x14ac:dyDescent="0.25">
      <c r="A284">
        <v>283</v>
      </c>
      <c r="B284" s="1">
        <v>43850</v>
      </c>
      <c r="C284" t="s">
        <v>8</v>
      </c>
      <c r="D284" t="s">
        <v>15</v>
      </c>
      <c r="F284" t="s">
        <v>21</v>
      </c>
      <c r="G284">
        <v>4</v>
      </c>
      <c r="H284">
        <v>290</v>
      </c>
      <c r="I284">
        <f t="shared" si="107"/>
        <v>1160</v>
      </c>
      <c r="J284" t="s">
        <v>13</v>
      </c>
      <c r="K284">
        <v>271</v>
      </c>
      <c r="M284">
        <f t="shared" si="123"/>
        <v>1084</v>
      </c>
      <c r="N284">
        <f t="shared" si="124"/>
        <v>76</v>
      </c>
    </row>
    <row r="285" spans="1:14" ht="15" customHeight="1" x14ac:dyDescent="0.25">
      <c r="A285">
        <v>284</v>
      </c>
      <c r="B285" s="1">
        <v>43850</v>
      </c>
      <c r="C285" t="s">
        <v>8</v>
      </c>
      <c r="D285" t="s">
        <v>56</v>
      </c>
      <c r="F285" t="s">
        <v>267</v>
      </c>
      <c r="G285">
        <v>6</v>
      </c>
      <c r="H285">
        <v>170</v>
      </c>
      <c r="I285">
        <f t="shared" si="107"/>
        <v>1020</v>
      </c>
      <c r="J285" t="s">
        <v>163</v>
      </c>
      <c r="K285">
        <v>130</v>
      </c>
      <c r="M285">
        <f t="shared" si="123"/>
        <v>780</v>
      </c>
      <c r="N285">
        <f t="shared" si="124"/>
        <v>240</v>
      </c>
    </row>
    <row r="286" spans="1:14" ht="15" customHeight="1" x14ac:dyDescent="0.25">
      <c r="A286">
        <v>285</v>
      </c>
      <c r="B286" s="1">
        <v>43850</v>
      </c>
      <c r="C286" t="s">
        <v>8</v>
      </c>
      <c r="D286" t="s">
        <v>92</v>
      </c>
      <c r="F286" t="s">
        <v>136</v>
      </c>
      <c r="G286">
        <v>1</v>
      </c>
      <c r="H286">
        <v>290</v>
      </c>
      <c r="I286">
        <f t="shared" si="107"/>
        <v>290</v>
      </c>
      <c r="J286" t="s">
        <v>166</v>
      </c>
      <c r="K286">
        <v>190</v>
      </c>
      <c r="M286">
        <f t="shared" si="123"/>
        <v>190</v>
      </c>
      <c r="N286">
        <f t="shared" si="124"/>
        <v>100</v>
      </c>
    </row>
    <row r="287" spans="1:14" ht="15" customHeight="1" x14ac:dyDescent="0.25">
      <c r="A287">
        <v>286</v>
      </c>
      <c r="B287" s="1">
        <v>43850</v>
      </c>
      <c r="C287" t="s">
        <v>8</v>
      </c>
      <c r="D287" t="s">
        <v>92</v>
      </c>
      <c r="F287" t="s">
        <v>118</v>
      </c>
      <c r="G287">
        <v>1</v>
      </c>
      <c r="H287">
        <v>100</v>
      </c>
      <c r="I287">
        <f t="shared" si="107"/>
        <v>100</v>
      </c>
      <c r="J287" t="s">
        <v>166</v>
      </c>
      <c r="K287">
        <v>65</v>
      </c>
      <c r="M287">
        <f t="shared" si="123"/>
        <v>65</v>
      </c>
      <c r="N287">
        <f t="shared" si="124"/>
        <v>35</v>
      </c>
    </row>
    <row r="288" spans="1:14" ht="15" customHeight="1" x14ac:dyDescent="0.25">
      <c r="A288">
        <v>287</v>
      </c>
      <c r="B288" s="1">
        <v>43850</v>
      </c>
      <c r="C288" t="s">
        <v>8</v>
      </c>
      <c r="D288" t="s">
        <v>25</v>
      </c>
      <c r="F288" t="s">
        <v>57</v>
      </c>
      <c r="G288">
        <v>3</v>
      </c>
      <c r="H288">
        <v>60</v>
      </c>
      <c r="I288">
        <f t="shared" si="107"/>
        <v>180</v>
      </c>
      <c r="J288" t="s">
        <v>165</v>
      </c>
      <c r="K288">
        <f>380/12</f>
        <v>31.666666666666668</v>
      </c>
      <c r="M288">
        <f t="shared" ref="M288:M295" si="125">+K288*G288</f>
        <v>95</v>
      </c>
      <c r="N288">
        <f t="shared" ref="N288:N295" si="126">+I288-M288</f>
        <v>85</v>
      </c>
    </row>
    <row r="289" spans="1:14" ht="15" customHeight="1" x14ac:dyDescent="0.25">
      <c r="A289">
        <v>288</v>
      </c>
      <c r="B289" s="1">
        <v>43850</v>
      </c>
      <c r="C289" t="s">
        <v>8</v>
      </c>
      <c r="D289" t="s">
        <v>55</v>
      </c>
      <c r="F289" t="s">
        <v>97</v>
      </c>
      <c r="G289">
        <v>5</v>
      </c>
      <c r="H289">
        <v>290</v>
      </c>
      <c r="I289">
        <f t="shared" si="107"/>
        <v>1450</v>
      </c>
      <c r="J289" t="s">
        <v>13</v>
      </c>
      <c r="K289">
        <v>271</v>
      </c>
      <c r="M289">
        <f t="shared" si="125"/>
        <v>1355</v>
      </c>
      <c r="N289">
        <f t="shared" si="126"/>
        <v>95</v>
      </c>
    </row>
    <row r="290" spans="1:14" ht="15" customHeight="1" x14ac:dyDescent="0.25">
      <c r="A290">
        <v>289</v>
      </c>
      <c r="B290" s="1">
        <v>43850</v>
      </c>
      <c r="C290" t="s">
        <v>8</v>
      </c>
      <c r="D290" t="s">
        <v>25</v>
      </c>
      <c r="F290" t="s">
        <v>137</v>
      </c>
      <c r="G290">
        <v>1</v>
      </c>
      <c r="H290">
        <v>60</v>
      </c>
      <c r="I290">
        <f t="shared" si="107"/>
        <v>60</v>
      </c>
      <c r="J290" t="s">
        <v>165</v>
      </c>
      <c r="K290">
        <f>380/12</f>
        <v>31.666666666666668</v>
      </c>
      <c r="M290">
        <f t="shared" si="125"/>
        <v>31.666666666666668</v>
      </c>
      <c r="N290">
        <f t="shared" si="126"/>
        <v>28.333333333333332</v>
      </c>
    </row>
    <row r="291" spans="1:14" ht="15" customHeight="1" x14ac:dyDescent="0.25">
      <c r="A291">
        <v>290</v>
      </c>
      <c r="B291" s="1">
        <v>43850</v>
      </c>
      <c r="C291" t="s">
        <v>8</v>
      </c>
      <c r="D291" t="s">
        <v>56</v>
      </c>
      <c r="F291" t="s">
        <v>267</v>
      </c>
      <c r="G291">
        <v>12</v>
      </c>
      <c r="H291">
        <v>170</v>
      </c>
      <c r="I291">
        <f t="shared" si="107"/>
        <v>2040</v>
      </c>
      <c r="J291" t="s">
        <v>163</v>
      </c>
      <c r="K291">
        <v>130</v>
      </c>
      <c r="M291">
        <f t="shared" si="125"/>
        <v>1560</v>
      </c>
      <c r="N291">
        <f t="shared" si="126"/>
        <v>480</v>
      </c>
    </row>
    <row r="292" spans="1:14" ht="15" customHeight="1" x14ac:dyDescent="0.25">
      <c r="A292">
        <v>291</v>
      </c>
      <c r="B292" s="1">
        <v>43850</v>
      </c>
      <c r="C292" t="s">
        <v>8</v>
      </c>
      <c r="D292" t="s">
        <v>25</v>
      </c>
      <c r="F292" t="s">
        <v>58</v>
      </c>
      <c r="G292">
        <v>5</v>
      </c>
      <c r="H292">
        <v>60</v>
      </c>
      <c r="I292">
        <f>+G292*H292</f>
        <v>300</v>
      </c>
      <c r="J292" t="s">
        <v>165</v>
      </c>
      <c r="K292">
        <f>380/12</f>
        <v>31.666666666666668</v>
      </c>
      <c r="M292">
        <f t="shared" si="125"/>
        <v>158.33333333333334</v>
      </c>
      <c r="N292">
        <f t="shared" si="126"/>
        <v>141.66666666666666</v>
      </c>
    </row>
    <row r="293" spans="1:14" ht="15" customHeight="1" x14ac:dyDescent="0.25">
      <c r="A293">
        <v>292</v>
      </c>
      <c r="B293" s="1">
        <v>43851</v>
      </c>
      <c r="C293" t="s">
        <v>8</v>
      </c>
      <c r="D293" t="s">
        <v>15</v>
      </c>
      <c r="F293" t="s">
        <v>96</v>
      </c>
      <c r="G293">
        <v>17</v>
      </c>
      <c r="H293">
        <v>230</v>
      </c>
      <c r="I293">
        <f t="shared" si="107"/>
        <v>3910</v>
      </c>
      <c r="J293" t="s">
        <v>163</v>
      </c>
      <c r="K293">
        <v>182</v>
      </c>
      <c r="M293">
        <f t="shared" si="125"/>
        <v>3094</v>
      </c>
      <c r="N293">
        <f t="shared" si="126"/>
        <v>816</v>
      </c>
    </row>
    <row r="294" spans="1:14" ht="15" customHeight="1" x14ac:dyDescent="0.25">
      <c r="A294">
        <v>293</v>
      </c>
      <c r="B294" s="1">
        <v>43851</v>
      </c>
      <c r="C294" t="s">
        <v>8</v>
      </c>
      <c r="D294" t="s">
        <v>44</v>
      </c>
      <c r="F294" t="s">
        <v>138</v>
      </c>
      <c r="G294">
        <v>3</v>
      </c>
      <c r="H294">
        <v>35</v>
      </c>
      <c r="I294">
        <f t="shared" si="107"/>
        <v>105</v>
      </c>
      <c r="J294" t="s">
        <v>166</v>
      </c>
      <c r="K294">
        <v>20</v>
      </c>
      <c r="M294">
        <f t="shared" si="125"/>
        <v>60</v>
      </c>
      <c r="N294">
        <f t="shared" si="126"/>
        <v>45</v>
      </c>
    </row>
    <row r="295" spans="1:14" ht="15" customHeight="1" x14ac:dyDescent="0.25">
      <c r="A295">
        <v>294</v>
      </c>
      <c r="B295" s="1">
        <v>43851</v>
      </c>
      <c r="C295" t="s">
        <v>8</v>
      </c>
      <c r="D295" t="s">
        <v>25</v>
      </c>
      <c r="F295" t="s">
        <v>137</v>
      </c>
      <c r="G295">
        <v>2</v>
      </c>
      <c r="H295">
        <v>60</v>
      </c>
      <c r="I295">
        <f t="shared" si="107"/>
        <v>120</v>
      </c>
      <c r="J295" t="s">
        <v>165</v>
      </c>
      <c r="K295">
        <f>380/12</f>
        <v>31.666666666666668</v>
      </c>
      <c r="M295">
        <f t="shared" si="125"/>
        <v>63.333333333333336</v>
      </c>
      <c r="N295">
        <f t="shared" si="126"/>
        <v>56.666666666666664</v>
      </c>
    </row>
    <row r="296" spans="1:14" ht="15" customHeight="1" x14ac:dyDescent="0.25">
      <c r="A296">
        <v>295</v>
      </c>
      <c r="B296" s="1">
        <v>43851</v>
      </c>
      <c r="C296" t="s">
        <v>8</v>
      </c>
      <c r="D296" t="s">
        <v>15</v>
      </c>
      <c r="F296" t="s">
        <v>63</v>
      </c>
      <c r="G296">
        <v>6</v>
      </c>
      <c r="H296">
        <v>240</v>
      </c>
      <c r="I296">
        <f t="shared" si="107"/>
        <v>1440</v>
      </c>
      <c r="J296" t="s">
        <v>163</v>
      </c>
      <c r="K296">
        <v>204</v>
      </c>
      <c r="M296">
        <f t="shared" ref="M296:M300" si="127">+K296*G296</f>
        <v>1224</v>
      </c>
      <c r="N296">
        <f t="shared" ref="N296:N300" si="128">+I296-M296</f>
        <v>216</v>
      </c>
    </row>
    <row r="297" spans="1:14" ht="15" customHeight="1" x14ac:dyDescent="0.25">
      <c r="A297">
        <v>296</v>
      </c>
      <c r="B297" s="1">
        <v>43851</v>
      </c>
      <c r="C297" t="s">
        <v>8</v>
      </c>
      <c r="D297" t="s">
        <v>15</v>
      </c>
      <c r="F297" t="s">
        <v>54</v>
      </c>
      <c r="G297">
        <v>40</v>
      </c>
      <c r="H297">
        <v>240</v>
      </c>
      <c r="I297">
        <f t="shared" si="107"/>
        <v>9600</v>
      </c>
      <c r="J297" t="s">
        <v>163</v>
      </c>
      <c r="K297">
        <v>212</v>
      </c>
      <c r="M297">
        <f t="shared" si="127"/>
        <v>8480</v>
      </c>
      <c r="N297">
        <f t="shared" si="128"/>
        <v>1120</v>
      </c>
    </row>
    <row r="298" spans="1:14" ht="15" customHeight="1" x14ac:dyDescent="0.25">
      <c r="A298">
        <v>297</v>
      </c>
      <c r="B298" s="1">
        <v>43851</v>
      </c>
      <c r="C298" t="s">
        <v>8</v>
      </c>
      <c r="D298" t="s">
        <v>70</v>
      </c>
      <c r="F298" t="s">
        <v>122</v>
      </c>
      <c r="G298">
        <v>1</v>
      </c>
      <c r="H298">
        <v>3100</v>
      </c>
      <c r="I298">
        <f t="shared" si="107"/>
        <v>3100</v>
      </c>
      <c r="J298" t="s">
        <v>163</v>
      </c>
      <c r="K298">
        <v>2732</v>
      </c>
      <c r="M298">
        <f t="shared" si="127"/>
        <v>2732</v>
      </c>
      <c r="N298">
        <f t="shared" si="128"/>
        <v>368</v>
      </c>
    </row>
    <row r="299" spans="1:14" ht="15" customHeight="1" x14ac:dyDescent="0.25">
      <c r="A299">
        <v>298</v>
      </c>
      <c r="B299" s="1">
        <v>43851</v>
      </c>
      <c r="C299" t="s">
        <v>8</v>
      </c>
      <c r="D299" t="s">
        <v>15</v>
      </c>
      <c r="F299" t="s">
        <v>96</v>
      </c>
      <c r="G299">
        <v>16</v>
      </c>
      <c r="H299">
        <v>230</v>
      </c>
      <c r="I299">
        <f t="shared" si="107"/>
        <v>3680</v>
      </c>
      <c r="J299" t="s">
        <v>163</v>
      </c>
      <c r="K299">
        <v>182</v>
      </c>
      <c r="M299">
        <f t="shared" si="127"/>
        <v>2912</v>
      </c>
      <c r="N299">
        <f t="shared" si="128"/>
        <v>768</v>
      </c>
    </row>
    <row r="300" spans="1:14" ht="15" customHeight="1" x14ac:dyDescent="0.25">
      <c r="A300">
        <v>299</v>
      </c>
      <c r="B300" s="1">
        <v>43851</v>
      </c>
      <c r="C300" t="s">
        <v>8</v>
      </c>
      <c r="D300" t="s">
        <v>25</v>
      </c>
      <c r="F300" t="s">
        <v>139</v>
      </c>
      <c r="G300">
        <v>1</v>
      </c>
      <c r="H300">
        <v>100</v>
      </c>
      <c r="I300">
        <f t="shared" si="107"/>
        <v>100</v>
      </c>
      <c r="J300" t="s">
        <v>163</v>
      </c>
      <c r="K300">
        <v>76</v>
      </c>
      <c r="M300">
        <f t="shared" si="127"/>
        <v>76</v>
      </c>
      <c r="N300">
        <f t="shared" si="128"/>
        <v>24</v>
      </c>
    </row>
    <row r="301" spans="1:14" ht="15" customHeight="1" x14ac:dyDescent="0.25">
      <c r="A301">
        <v>300</v>
      </c>
      <c r="B301" s="1">
        <v>43851</v>
      </c>
      <c r="C301" t="s">
        <v>8</v>
      </c>
      <c r="D301" t="s">
        <v>64</v>
      </c>
      <c r="F301" t="s">
        <v>82</v>
      </c>
      <c r="G301">
        <v>3</v>
      </c>
      <c r="H301">
        <v>430</v>
      </c>
      <c r="I301">
        <f t="shared" si="107"/>
        <v>1290</v>
      </c>
      <c r="J301" t="s">
        <v>13</v>
      </c>
      <c r="K301">
        <v>326</v>
      </c>
      <c r="M301">
        <f>+K301*G301</f>
        <v>978</v>
      </c>
      <c r="N301">
        <f>+I301-M301</f>
        <v>312</v>
      </c>
    </row>
    <row r="302" spans="1:14" ht="15" customHeight="1" x14ac:dyDescent="0.25">
      <c r="A302">
        <v>301</v>
      </c>
      <c r="B302" s="1">
        <v>43851</v>
      </c>
      <c r="C302" t="s">
        <v>8</v>
      </c>
      <c r="D302" t="s">
        <v>70</v>
      </c>
      <c r="F302" t="s">
        <v>140</v>
      </c>
      <c r="G302">
        <v>1</v>
      </c>
      <c r="H302">
        <v>1600</v>
      </c>
      <c r="I302">
        <f t="shared" si="107"/>
        <v>1600</v>
      </c>
      <c r="J302" t="s">
        <v>163</v>
      </c>
      <c r="K302">
        <v>1432</v>
      </c>
      <c r="M302">
        <f>+K302*G302</f>
        <v>1432</v>
      </c>
      <c r="N302">
        <f>+I302-M302</f>
        <v>168</v>
      </c>
    </row>
    <row r="303" spans="1:14" ht="15" customHeight="1" x14ac:dyDescent="0.25">
      <c r="A303">
        <v>302</v>
      </c>
      <c r="B303" s="1">
        <v>43851</v>
      </c>
      <c r="C303" t="s">
        <v>8</v>
      </c>
      <c r="D303" t="s">
        <v>85</v>
      </c>
      <c r="F303" t="s">
        <v>86</v>
      </c>
      <c r="G303">
        <v>1</v>
      </c>
      <c r="H303">
        <v>900</v>
      </c>
      <c r="I303">
        <f t="shared" si="107"/>
        <v>900</v>
      </c>
      <c r="J303" t="s">
        <v>167</v>
      </c>
      <c r="K303">
        <v>470</v>
      </c>
      <c r="M303">
        <f>+K303*G303</f>
        <v>470</v>
      </c>
      <c r="N303">
        <f>+I303-M227:M303</f>
        <v>430</v>
      </c>
    </row>
    <row r="304" spans="1:14" ht="15" customHeight="1" x14ac:dyDescent="0.25">
      <c r="A304">
        <v>303</v>
      </c>
      <c r="B304" s="1">
        <v>43851</v>
      </c>
      <c r="C304" t="s">
        <v>8</v>
      </c>
      <c r="D304" t="s">
        <v>85</v>
      </c>
      <c r="F304" t="s">
        <v>141</v>
      </c>
      <c r="G304">
        <v>1</v>
      </c>
      <c r="H304">
        <v>190</v>
      </c>
      <c r="I304">
        <f t="shared" si="107"/>
        <v>190</v>
      </c>
      <c r="J304" t="s">
        <v>166</v>
      </c>
      <c r="K304">
        <v>110</v>
      </c>
      <c r="M304">
        <f t="shared" ref="M304" si="129">+K304*G304</f>
        <v>110</v>
      </c>
      <c r="N304">
        <f>+I304-M304</f>
        <v>80</v>
      </c>
    </row>
    <row r="305" spans="1:14" ht="15" customHeight="1" x14ac:dyDescent="0.25">
      <c r="A305">
        <v>304</v>
      </c>
      <c r="B305" s="1">
        <v>43851</v>
      </c>
      <c r="C305" t="s">
        <v>8</v>
      </c>
      <c r="D305" t="s">
        <v>25</v>
      </c>
      <c r="F305" t="s">
        <v>72</v>
      </c>
      <c r="G305">
        <v>2</v>
      </c>
      <c r="H305">
        <v>60</v>
      </c>
      <c r="I305">
        <f t="shared" si="107"/>
        <v>120</v>
      </c>
      <c r="J305" t="s">
        <v>165</v>
      </c>
      <c r="K305">
        <f>380/12</f>
        <v>31.666666666666668</v>
      </c>
      <c r="M305">
        <f t="shared" ref="M305:M315" si="130">+K305*G305</f>
        <v>63.333333333333336</v>
      </c>
      <c r="N305">
        <f t="shared" ref="N305:N315" si="131">+I305-M305</f>
        <v>56.666666666666664</v>
      </c>
    </row>
    <row r="306" spans="1:14" ht="15" customHeight="1" x14ac:dyDescent="0.25">
      <c r="A306">
        <v>305</v>
      </c>
      <c r="B306" s="1">
        <v>43851</v>
      </c>
      <c r="C306" t="s">
        <v>8</v>
      </c>
      <c r="D306" t="s">
        <v>15</v>
      </c>
      <c r="F306" t="s">
        <v>76</v>
      </c>
      <c r="G306">
        <v>5.4</v>
      </c>
      <c r="H306">
        <v>230</v>
      </c>
      <c r="I306">
        <f t="shared" si="107"/>
        <v>1242</v>
      </c>
      <c r="J306" t="s">
        <v>163</v>
      </c>
      <c r="K306">
        <v>176</v>
      </c>
      <c r="M306">
        <f t="shared" si="130"/>
        <v>950.40000000000009</v>
      </c>
      <c r="N306">
        <f t="shared" si="131"/>
        <v>291.59999999999991</v>
      </c>
    </row>
    <row r="307" spans="1:14" ht="15" customHeight="1" x14ac:dyDescent="0.25">
      <c r="A307">
        <v>306</v>
      </c>
      <c r="B307" s="1">
        <v>43851</v>
      </c>
      <c r="C307" t="s">
        <v>8</v>
      </c>
      <c r="D307" t="s">
        <v>25</v>
      </c>
      <c r="F307" t="s">
        <v>58</v>
      </c>
      <c r="G307">
        <v>2</v>
      </c>
      <c r="H307">
        <v>60</v>
      </c>
      <c r="I307">
        <f t="shared" si="107"/>
        <v>120</v>
      </c>
      <c r="J307" t="s">
        <v>165</v>
      </c>
      <c r="K307">
        <f>380/12</f>
        <v>31.666666666666668</v>
      </c>
      <c r="M307">
        <f t="shared" si="130"/>
        <v>63.333333333333336</v>
      </c>
      <c r="N307">
        <f t="shared" si="131"/>
        <v>56.666666666666664</v>
      </c>
    </row>
    <row r="308" spans="1:14" ht="15" customHeight="1" x14ac:dyDescent="0.25">
      <c r="A308">
        <v>307</v>
      </c>
      <c r="B308" s="1">
        <v>43851</v>
      </c>
      <c r="C308" t="s">
        <v>8</v>
      </c>
      <c r="D308" t="s">
        <v>15</v>
      </c>
      <c r="F308" t="s">
        <v>96</v>
      </c>
      <c r="G308">
        <v>7.77</v>
      </c>
      <c r="H308">
        <v>230</v>
      </c>
      <c r="I308">
        <f t="shared" si="107"/>
        <v>1787.1</v>
      </c>
      <c r="J308" t="s">
        <v>163</v>
      </c>
      <c r="K308">
        <v>182</v>
      </c>
      <c r="M308">
        <f t="shared" si="130"/>
        <v>1414.1399999999999</v>
      </c>
      <c r="N308">
        <f t="shared" si="131"/>
        <v>372.96000000000004</v>
      </c>
    </row>
    <row r="309" spans="1:14" ht="15" customHeight="1" x14ac:dyDescent="0.25">
      <c r="A309">
        <v>308</v>
      </c>
      <c r="B309" s="1">
        <v>43851</v>
      </c>
      <c r="C309" t="s">
        <v>8</v>
      </c>
      <c r="D309" t="s">
        <v>24</v>
      </c>
      <c r="F309" t="s">
        <v>24</v>
      </c>
      <c r="G309">
        <v>1</v>
      </c>
      <c r="H309">
        <v>100</v>
      </c>
      <c r="I309">
        <f t="shared" si="107"/>
        <v>100</v>
      </c>
      <c r="J309" t="s">
        <v>186</v>
      </c>
      <c r="K309">
        <v>68.22</v>
      </c>
      <c r="M309">
        <f t="shared" si="130"/>
        <v>68.22</v>
      </c>
      <c r="N309">
        <f t="shared" si="131"/>
        <v>31.78</v>
      </c>
    </row>
    <row r="310" spans="1:14" ht="15" customHeight="1" x14ac:dyDescent="0.25">
      <c r="A310">
        <v>309</v>
      </c>
      <c r="B310" s="1">
        <v>43851</v>
      </c>
      <c r="C310" t="s">
        <v>8</v>
      </c>
      <c r="D310" t="s">
        <v>15</v>
      </c>
      <c r="F310" t="s">
        <v>19</v>
      </c>
      <c r="G310">
        <v>10</v>
      </c>
      <c r="H310">
        <v>290</v>
      </c>
      <c r="I310">
        <f t="shared" si="107"/>
        <v>2900</v>
      </c>
      <c r="J310" t="s">
        <v>13</v>
      </c>
      <c r="K310">
        <v>271</v>
      </c>
      <c r="M310">
        <f t="shared" si="130"/>
        <v>2710</v>
      </c>
      <c r="N310">
        <f t="shared" si="131"/>
        <v>190</v>
      </c>
    </row>
    <row r="311" spans="1:14" ht="15" customHeight="1" x14ac:dyDescent="0.25">
      <c r="A311">
        <v>310</v>
      </c>
      <c r="B311" s="1">
        <v>43851</v>
      </c>
      <c r="C311" t="s">
        <v>8</v>
      </c>
      <c r="D311" t="s">
        <v>25</v>
      </c>
      <c r="F311" t="s">
        <v>142</v>
      </c>
      <c r="G311">
        <v>2</v>
      </c>
      <c r="H311">
        <v>60</v>
      </c>
      <c r="I311">
        <f t="shared" si="107"/>
        <v>120</v>
      </c>
      <c r="J311" t="s">
        <v>165</v>
      </c>
      <c r="K311">
        <f>380/12</f>
        <v>31.666666666666668</v>
      </c>
      <c r="M311">
        <f t="shared" si="130"/>
        <v>63.333333333333336</v>
      </c>
      <c r="N311">
        <f t="shared" si="131"/>
        <v>56.666666666666664</v>
      </c>
    </row>
    <row r="312" spans="1:14" ht="15" customHeight="1" x14ac:dyDescent="0.25">
      <c r="A312">
        <v>311</v>
      </c>
      <c r="B312" s="1">
        <v>43852</v>
      </c>
      <c r="C312" t="s">
        <v>8</v>
      </c>
      <c r="D312" t="s">
        <v>15</v>
      </c>
      <c r="F312" t="s">
        <v>76</v>
      </c>
      <c r="G312">
        <f>14/9</f>
        <v>1.5555555555555556</v>
      </c>
      <c r="H312">
        <v>250</v>
      </c>
      <c r="I312">
        <f t="shared" si="107"/>
        <v>388.88888888888891</v>
      </c>
      <c r="J312" t="s">
        <v>163</v>
      </c>
      <c r="K312">
        <v>176</v>
      </c>
      <c r="M312">
        <f t="shared" si="130"/>
        <v>273.77777777777777</v>
      </c>
      <c r="N312">
        <f t="shared" si="131"/>
        <v>115.11111111111114</v>
      </c>
    </row>
    <row r="313" spans="1:14" ht="15" customHeight="1" x14ac:dyDescent="0.25">
      <c r="A313">
        <v>312</v>
      </c>
      <c r="B313" s="1">
        <v>43852</v>
      </c>
      <c r="C313" t="s">
        <v>8</v>
      </c>
      <c r="D313" t="s">
        <v>15</v>
      </c>
      <c r="F313" t="s">
        <v>45</v>
      </c>
      <c r="G313">
        <f>2/9</f>
        <v>0.22222222222222221</v>
      </c>
      <c r="H313">
        <v>290</v>
      </c>
      <c r="I313">
        <f t="shared" si="107"/>
        <v>64.444444444444443</v>
      </c>
      <c r="J313" t="s">
        <v>13</v>
      </c>
      <c r="K313">
        <v>271</v>
      </c>
      <c r="M313">
        <f t="shared" si="130"/>
        <v>60.222222222222221</v>
      </c>
      <c r="N313">
        <f t="shared" si="131"/>
        <v>4.2222222222222214</v>
      </c>
    </row>
    <row r="314" spans="1:14" ht="15" customHeight="1" x14ac:dyDescent="0.25">
      <c r="A314">
        <v>313</v>
      </c>
      <c r="B314" s="1">
        <v>43852</v>
      </c>
      <c r="C314" t="s">
        <v>8</v>
      </c>
      <c r="D314" t="s">
        <v>56</v>
      </c>
      <c r="F314" t="s">
        <v>38</v>
      </c>
      <c r="G314">
        <v>1</v>
      </c>
      <c r="H314">
        <v>110</v>
      </c>
      <c r="I314">
        <f t="shared" si="107"/>
        <v>110</v>
      </c>
      <c r="J314" t="s">
        <v>164</v>
      </c>
      <c r="K314">
        <v>70</v>
      </c>
      <c r="M314">
        <f t="shared" si="130"/>
        <v>70</v>
      </c>
      <c r="N314">
        <f t="shared" si="131"/>
        <v>40</v>
      </c>
    </row>
    <row r="315" spans="1:14" ht="15" customHeight="1" x14ac:dyDescent="0.25">
      <c r="A315">
        <v>314</v>
      </c>
      <c r="B315" s="1">
        <v>43852</v>
      </c>
      <c r="C315" t="s">
        <v>8</v>
      </c>
      <c r="D315" t="s">
        <v>92</v>
      </c>
      <c r="F315" t="s">
        <v>143</v>
      </c>
      <c r="G315">
        <v>1</v>
      </c>
      <c r="H315">
        <v>130</v>
      </c>
      <c r="I315">
        <f t="shared" si="107"/>
        <v>130</v>
      </c>
      <c r="J315" t="s">
        <v>166</v>
      </c>
      <c r="K315">
        <v>89</v>
      </c>
      <c r="M315">
        <f t="shared" si="130"/>
        <v>89</v>
      </c>
      <c r="N315">
        <f t="shared" si="131"/>
        <v>41</v>
      </c>
    </row>
    <row r="316" spans="1:14" ht="15" customHeight="1" x14ac:dyDescent="0.25">
      <c r="A316">
        <v>315</v>
      </c>
      <c r="B316" s="1">
        <v>43852</v>
      </c>
      <c r="C316" t="s">
        <v>8</v>
      </c>
      <c r="D316" t="s">
        <v>92</v>
      </c>
      <c r="F316" t="s">
        <v>87</v>
      </c>
      <c r="G316">
        <v>1</v>
      </c>
      <c r="H316">
        <v>600</v>
      </c>
      <c r="I316">
        <f t="shared" si="107"/>
        <v>600</v>
      </c>
      <c r="J316" t="s">
        <v>167</v>
      </c>
      <c r="K316">
        <v>360</v>
      </c>
      <c r="M316">
        <f t="shared" ref="M316:M322" si="132">+K316*G316</f>
        <v>360</v>
      </c>
      <c r="N316">
        <f>+I316-M240:M316</f>
        <v>240</v>
      </c>
    </row>
    <row r="317" spans="1:14" ht="15" customHeight="1" x14ac:dyDescent="0.25">
      <c r="A317">
        <v>316</v>
      </c>
      <c r="B317" s="1">
        <v>43852</v>
      </c>
      <c r="C317" t="s">
        <v>8</v>
      </c>
      <c r="D317" t="s">
        <v>15</v>
      </c>
      <c r="F317" t="s">
        <v>29</v>
      </c>
      <c r="G317">
        <v>12</v>
      </c>
      <c r="H317">
        <v>230</v>
      </c>
      <c r="I317">
        <f t="shared" si="107"/>
        <v>2760</v>
      </c>
      <c r="J317" t="s">
        <v>163</v>
      </c>
      <c r="K317">
        <v>196</v>
      </c>
      <c r="M317">
        <f t="shared" si="132"/>
        <v>2352</v>
      </c>
      <c r="N317">
        <f t="shared" ref="N317:N322" si="133">+I317-M317</f>
        <v>408</v>
      </c>
    </row>
    <row r="318" spans="1:14" ht="15" customHeight="1" x14ac:dyDescent="0.25">
      <c r="A318">
        <v>317</v>
      </c>
      <c r="B318" s="1">
        <v>43852</v>
      </c>
      <c r="C318" t="s">
        <v>8</v>
      </c>
      <c r="D318" t="s">
        <v>56</v>
      </c>
      <c r="F318" t="s">
        <v>38</v>
      </c>
      <c r="G318">
        <v>6</v>
      </c>
      <c r="H318">
        <v>110</v>
      </c>
      <c r="I318">
        <f t="shared" si="107"/>
        <v>660</v>
      </c>
      <c r="J318" t="s">
        <v>164</v>
      </c>
      <c r="K318">
        <v>70</v>
      </c>
      <c r="M318">
        <f t="shared" si="132"/>
        <v>420</v>
      </c>
      <c r="N318">
        <f t="shared" si="133"/>
        <v>240</v>
      </c>
    </row>
    <row r="319" spans="1:14" ht="15" customHeight="1" x14ac:dyDescent="0.25">
      <c r="A319">
        <v>318</v>
      </c>
      <c r="B319" s="1">
        <v>43852</v>
      </c>
      <c r="C319" t="s">
        <v>8</v>
      </c>
      <c r="D319" t="s">
        <v>44</v>
      </c>
      <c r="F319" t="s">
        <v>133</v>
      </c>
      <c r="G319">
        <v>1</v>
      </c>
      <c r="H319">
        <v>35</v>
      </c>
      <c r="I319">
        <f t="shared" si="107"/>
        <v>35</v>
      </c>
      <c r="J319" t="s">
        <v>166</v>
      </c>
      <c r="K319">
        <v>20</v>
      </c>
      <c r="M319">
        <f t="shared" si="132"/>
        <v>20</v>
      </c>
      <c r="N319">
        <f t="shared" si="133"/>
        <v>15</v>
      </c>
    </row>
    <row r="320" spans="1:14" ht="15" customHeight="1" x14ac:dyDescent="0.25">
      <c r="A320">
        <v>319</v>
      </c>
      <c r="B320" s="1">
        <v>43852</v>
      </c>
      <c r="C320" t="s">
        <v>8</v>
      </c>
      <c r="D320" t="s">
        <v>24</v>
      </c>
      <c r="F320" t="s">
        <v>24</v>
      </c>
      <c r="G320">
        <v>3.2</v>
      </c>
      <c r="H320">
        <v>100</v>
      </c>
      <c r="I320">
        <f t="shared" si="107"/>
        <v>320</v>
      </c>
      <c r="J320" t="s">
        <v>186</v>
      </c>
      <c r="K320">
        <v>68.22</v>
      </c>
      <c r="M320">
        <f t="shared" si="132"/>
        <v>218.304</v>
      </c>
      <c r="N320">
        <f t="shared" si="133"/>
        <v>101.696</v>
      </c>
    </row>
    <row r="321" spans="1:14" ht="15" customHeight="1" x14ac:dyDescent="0.25">
      <c r="A321">
        <v>320</v>
      </c>
      <c r="B321" s="1">
        <v>43852</v>
      </c>
      <c r="C321" t="s">
        <v>8</v>
      </c>
      <c r="D321" t="s">
        <v>55</v>
      </c>
      <c r="F321" t="s">
        <v>149</v>
      </c>
      <c r="G321">
        <v>1.5</v>
      </c>
      <c r="H321">
        <v>290</v>
      </c>
      <c r="I321">
        <f t="shared" si="107"/>
        <v>435</v>
      </c>
      <c r="J321" t="s">
        <v>13</v>
      </c>
      <c r="K321">
        <v>271</v>
      </c>
      <c r="M321">
        <f t="shared" si="132"/>
        <v>406.5</v>
      </c>
      <c r="N321">
        <f t="shared" si="133"/>
        <v>28.5</v>
      </c>
    </row>
    <row r="322" spans="1:14" ht="15" customHeight="1" x14ac:dyDescent="0.25">
      <c r="A322">
        <v>321</v>
      </c>
      <c r="B322" s="1">
        <v>43852</v>
      </c>
      <c r="C322" t="s">
        <v>8</v>
      </c>
      <c r="D322" t="s">
        <v>44</v>
      </c>
      <c r="F322" t="s">
        <v>77</v>
      </c>
      <c r="G322">
        <v>1</v>
      </c>
      <c r="H322">
        <v>35</v>
      </c>
      <c r="I322">
        <f t="shared" si="107"/>
        <v>35</v>
      </c>
      <c r="J322" t="s">
        <v>166</v>
      </c>
      <c r="K322">
        <v>20</v>
      </c>
      <c r="M322">
        <f t="shared" si="132"/>
        <v>20</v>
      </c>
      <c r="N322">
        <f t="shared" si="133"/>
        <v>15</v>
      </c>
    </row>
    <row r="323" spans="1:14" ht="15" customHeight="1" x14ac:dyDescent="0.25">
      <c r="A323">
        <v>322</v>
      </c>
      <c r="B323" s="1">
        <v>43852</v>
      </c>
      <c r="C323" t="s">
        <v>8</v>
      </c>
      <c r="D323" t="s">
        <v>25</v>
      </c>
      <c r="F323" t="s">
        <v>58</v>
      </c>
      <c r="G323">
        <v>1</v>
      </c>
      <c r="H323">
        <v>60</v>
      </c>
      <c r="I323">
        <f t="shared" ref="I323:I386" si="134">+G323*H323</f>
        <v>60</v>
      </c>
      <c r="J323" t="s">
        <v>165</v>
      </c>
      <c r="K323">
        <f t="shared" ref="K323:K324" si="135">380/12</f>
        <v>31.666666666666668</v>
      </c>
      <c r="M323">
        <f t="shared" ref="M323:M324" si="136">+K323*G323</f>
        <v>31.666666666666668</v>
      </c>
      <c r="N323">
        <f t="shared" ref="N323:N324" si="137">+I323-M323</f>
        <v>28.333333333333332</v>
      </c>
    </row>
    <row r="324" spans="1:14" ht="15" customHeight="1" x14ac:dyDescent="0.25">
      <c r="A324">
        <v>323</v>
      </c>
      <c r="B324" s="1">
        <v>43852</v>
      </c>
      <c r="C324" t="s">
        <v>8</v>
      </c>
      <c r="D324" t="s">
        <v>25</v>
      </c>
      <c r="F324" t="s">
        <v>142</v>
      </c>
      <c r="G324">
        <v>2</v>
      </c>
      <c r="H324">
        <v>60</v>
      </c>
      <c r="I324">
        <f t="shared" si="134"/>
        <v>120</v>
      </c>
      <c r="J324" t="s">
        <v>165</v>
      </c>
      <c r="K324">
        <f t="shared" si="135"/>
        <v>31.666666666666668</v>
      </c>
      <c r="M324">
        <f t="shared" si="136"/>
        <v>63.333333333333336</v>
      </c>
      <c r="N324">
        <f t="shared" si="137"/>
        <v>56.666666666666664</v>
      </c>
    </row>
    <row r="325" spans="1:14" ht="15" customHeight="1" x14ac:dyDescent="0.25">
      <c r="A325">
        <v>324</v>
      </c>
      <c r="B325" s="1">
        <v>43852</v>
      </c>
      <c r="C325" t="s">
        <v>8</v>
      </c>
      <c r="D325" t="s">
        <v>70</v>
      </c>
      <c r="F325" t="s">
        <v>140</v>
      </c>
      <c r="G325">
        <v>1</v>
      </c>
      <c r="H325">
        <v>1600</v>
      </c>
      <c r="I325">
        <f t="shared" si="134"/>
        <v>1600</v>
      </c>
      <c r="J325" t="s">
        <v>163</v>
      </c>
      <c r="K325">
        <v>1432</v>
      </c>
      <c r="M325">
        <f>+K325*G325</f>
        <v>1432</v>
      </c>
      <c r="N325">
        <f>+I325-M325</f>
        <v>168</v>
      </c>
    </row>
    <row r="326" spans="1:14" ht="15" customHeight="1" x14ac:dyDescent="0.25">
      <c r="A326">
        <v>325</v>
      </c>
      <c r="B326" s="1">
        <v>43853</v>
      </c>
      <c r="C326" t="s">
        <v>8</v>
      </c>
      <c r="D326" t="s">
        <v>78</v>
      </c>
      <c r="F326" t="s">
        <v>79</v>
      </c>
      <c r="G326">
        <v>1</v>
      </c>
      <c r="H326">
        <v>1550</v>
      </c>
      <c r="I326">
        <f t="shared" si="134"/>
        <v>1550</v>
      </c>
      <c r="J326" t="s">
        <v>167</v>
      </c>
      <c r="K326">
        <v>1330</v>
      </c>
      <c r="M326">
        <f>+K326*G326</f>
        <v>1330</v>
      </c>
      <c r="N326">
        <f>+I326-M250:M326</f>
        <v>220</v>
      </c>
    </row>
    <row r="327" spans="1:14" ht="15" customHeight="1" x14ac:dyDescent="0.25">
      <c r="A327">
        <v>326</v>
      </c>
      <c r="B327" s="1">
        <v>43853</v>
      </c>
      <c r="C327" t="s">
        <v>8</v>
      </c>
      <c r="D327" t="s">
        <v>55</v>
      </c>
      <c r="F327" t="s">
        <v>22</v>
      </c>
      <c r="G327">
        <v>9</v>
      </c>
      <c r="H327">
        <v>290</v>
      </c>
      <c r="I327">
        <f t="shared" si="134"/>
        <v>2610</v>
      </c>
      <c r="J327" t="s">
        <v>13</v>
      </c>
      <c r="K327">
        <v>271</v>
      </c>
      <c r="M327">
        <f>+K327*G327</f>
        <v>2439</v>
      </c>
      <c r="N327">
        <f>+I327-M327</f>
        <v>171</v>
      </c>
    </row>
    <row r="328" spans="1:14" ht="15" customHeight="1" x14ac:dyDescent="0.25">
      <c r="A328">
        <v>327</v>
      </c>
      <c r="B328" s="1">
        <v>43853</v>
      </c>
      <c r="C328" t="s">
        <v>8</v>
      </c>
      <c r="D328" t="s">
        <v>78</v>
      </c>
      <c r="F328" t="s">
        <v>42</v>
      </c>
      <c r="G328">
        <v>1</v>
      </c>
      <c r="H328">
        <v>720</v>
      </c>
      <c r="I328">
        <f t="shared" si="134"/>
        <v>720</v>
      </c>
      <c r="J328" t="s">
        <v>166</v>
      </c>
      <c r="K328">
        <v>517</v>
      </c>
      <c r="M328">
        <f t="shared" ref="M328" si="138">+K328*G328</f>
        <v>517</v>
      </c>
      <c r="N328">
        <f t="shared" ref="N328" si="139">+I328-M328</f>
        <v>203</v>
      </c>
    </row>
    <row r="329" spans="1:14" ht="15" customHeight="1" x14ac:dyDescent="0.25">
      <c r="A329">
        <v>328</v>
      </c>
      <c r="B329" s="1">
        <v>43853</v>
      </c>
      <c r="C329" t="s">
        <v>8</v>
      </c>
      <c r="D329" t="s">
        <v>26</v>
      </c>
      <c r="F329" t="s">
        <v>144</v>
      </c>
      <c r="G329">
        <v>2.88</v>
      </c>
      <c r="H329">
        <v>400</v>
      </c>
      <c r="I329">
        <f t="shared" si="134"/>
        <v>1152</v>
      </c>
      <c r="J329" t="s">
        <v>99</v>
      </c>
      <c r="K329">
        <v>352</v>
      </c>
      <c r="M329">
        <f>+K329*G329</f>
        <v>1013.76</v>
      </c>
      <c r="N329">
        <f>+I329-M329</f>
        <v>138.24</v>
      </c>
    </row>
    <row r="330" spans="1:14" ht="15" customHeight="1" x14ac:dyDescent="0.25">
      <c r="A330">
        <v>329</v>
      </c>
      <c r="B330" s="1">
        <v>43853</v>
      </c>
      <c r="C330" t="s">
        <v>8</v>
      </c>
      <c r="D330" t="s">
        <v>85</v>
      </c>
      <c r="F330" t="s">
        <v>86</v>
      </c>
      <c r="G330">
        <v>1</v>
      </c>
      <c r="H330">
        <v>900</v>
      </c>
      <c r="I330">
        <f t="shared" si="134"/>
        <v>900</v>
      </c>
      <c r="J330" t="s">
        <v>167</v>
      </c>
      <c r="K330">
        <v>470</v>
      </c>
      <c r="M330">
        <f>+K330*G330</f>
        <v>470</v>
      </c>
      <c r="N330">
        <f>+I330-M254:M330</f>
        <v>430</v>
      </c>
    </row>
    <row r="331" spans="1:14" ht="15" customHeight="1" x14ac:dyDescent="0.25">
      <c r="A331">
        <v>330</v>
      </c>
      <c r="B331" s="1">
        <v>43853</v>
      </c>
      <c r="C331" t="s">
        <v>8</v>
      </c>
      <c r="D331" t="s">
        <v>85</v>
      </c>
      <c r="F331" t="s">
        <v>141</v>
      </c>
      <c r="G331">
        <v>1</v>
      </c>
      <c r="H331">
        <v>190</v>
      </c>
      <c r="I331">
        <f t="shared" si="134"/>
        <v>190</v>
      </c>
      <c r="J331" t="s">
        <v>166</v>
      </c>
      <c r="K331">
        <v>110</v>
      </c>
      <c r="M331">
        <f t="shared" ref="M331" si="140">+K331*G331</f>
        <v>110</v>
      </c>
      <c r="N331">
        <f>+I331-M331</f>
        <v>80</v>
      </c>
    </row>
    <row r="332" spans="1:14" ht="15" customHeight="1" x14ac:dyDescent="0.25">
      <c r="A332">
        <v>331</v>
      </c>
      <c r="B332" s="1">
        <v>43853</v>
      </c>
      <c r="C332" t="s">
        <v>8</v>
      </c>
      <c r="D332" t="s">
        <v>85</v>
      </c>
      <c r="F332" t="s">
        <v>152</v>
      </c>
      <c r="G332">
        <v>1</v>
      </c>
      <c r="H332">
        <v>85</v>
      </c>
      <c r="I332">
        <f t="shared" si="134"/>
        <v>85</v>
      </c>
      <c r="J332" t="s">
        <v>163</v>
      </c>
      <c r="K332">
        <v>67</v>
      </c>
      <c r="M332">
        <f t="shared" ref="M332:M336" si="141">+K332*G332</f>
        <v>67</v>
      </c>
      <c r="N332">
        <f t="shared" ref="N332:N336" si="142">+I332-M332</f>
        <v>18</v>
      </c>
    </row>
    <row r="333" spans="1:14" ht="15" customHeight="1" x14ac:dyDescent="0.25">
      <c r="A333">
        <v>332</v>
      </c>
      <c r="B333" s="1">
        <v>43853</v>
      </c>
      <c r="C333" t="s">
        <v>8</v>
      </c>
      <c r="D333" t="s">
        <v>25</v>
      </c>
      <c r="F333" t="s">
        <v>139</v>
      </c>
      <c r="G333">
        <v>1</v>
      </c>
      <c r="H333">
        <v>100</v>
      </c>
      <c r="I333">
        <f t="shared" si="134"/>
        <v>100</v>
      </c>
      <c r="J333" t="s">
        <v>163</v>
      </c>
      <c r="K333">
        <v>76</v>
      </c>
      <c r="M333">
        <f t="shared" si="141"/>
        <v>76</v>
      </c>
      <c r="N333">
        <f t="shared" si="142"/>
        <v>24</v>
      </c>
    </row>
    <row r="334" spans="1:14" ht="15" customHeight="1" x14ac:dyDescent="0.25">
      <c r="A334">
        <v>333</v>
      </c>
      <c r="B334" s="1">
        <v>43853</v>
      </c>
      <c r="C334" t="s">
        <v>8</v>
      </c>
      <c r="D334" t="s">
        <v>25</v>
      </c>
      <c r="F334" t="s">
        <v>145</v>
      </c>
      <c r="G334">
        <v>1</v>
      </c>
      <c r="H334">
        <v>100</v>
      </c>
      <c r="I334">
        <f t="shared" si="134"/>
        <v>100</v>
      </c>
      <c r="J334" t="s">
        <v>163</v>
      </c>
      <c r="K334">
        <v>70</v>
      </c>
      <c r="M334">
        <f t="shared" si="141"/>
        <v>70</v>
      </c>
      <c r="N334">
        <f t="shared" si="142"/>
        <v>30</v>
      </c>
    </row>
    <row r="335" spans="1:14" ht="15" customHeight="1" x14ac:dyDescent="0.25">
      <c r="A335">
        <v>334</v>
      </c>
      <c r="B335" s="1">
        <v>43853</v>
      </c>
      <c r="C335" t="s">
        <v>8</v>
      </c>
      <c r="D335" t="s">
        <v>15</v>
      </c>
      <c r="F335" t="s">
        <v>20</v>
      </c>
      <c r="G335">
        <f>3/5</f>
        <v>0.6</v>
      </c>
      <c r="H335">
        <v>240</v>
      </c>
      <c r="I335">
        <f t="shared" si="134"/>
        <v>144</v>
      </c>
      <c r="J335" t="s">
        <v>163</v>
      </c>
      <c r="K335">
        <v>216</v>
      </c>
      <c r="M335">
        <f t="shared" si="141"/>
        <v>129.6</v>
      </c>
      <c r="N335">
        <f t="shared" si="142"/>
        <v>14.400000000000006</v>
      </c>
    </row>
    <row r="336" spans="1:14" ht="15" customHeight="1" x14ac:dyDescent="0.25">
      <c r="A336">
        <v>335</v>
      </c>
      <c r="B336" s="1">
        <v>43853</v>
      </c>
      <c r="C336" t="s">
        <v>8</v>
      </c>
      <c r="D336" t="s">
        <v>15</v>
      </c>
      <c r="F336" t="s">
        <v>63</v>
      </c>
      <c r="G336">
        <v>2</v>
      </c>
      <c r="H336">
        <v>230</v>
      </c>
      <c r="I336">
        <f t="shared" si="134"/>
        <v>460</v>
      </c>
      <c r="J336" t="s">
        <v>163</v>
      </c>
      <c r="K336">
        <v>204</v>
      </c>
      <c r="M336">
        <f t="shared" si="141"/>
        <v>408</v>
      </c>
      <c r="N336">
        <f t="shared" si="142"/>
        <v>52</v>
      </c>
    </row>
    <row r="337" spans="1:14" ht="15" customHeight="1" x14ac:dyDescent="0.25">
      <c r="A337">
        <v>336</v>
      </c>
      <c r="B337" s="1">
        <v>43853</v>
      </c>
      <c r="C337" t="s">
        <v>8</v>
      </c>
      <c r="D337" t="s">
        <v>25</v>
      </c>
      <c r="F337" t="s">
        <v>57</v>
      </c>
      <c r="G337">
        <v>1</v>
      </c>
      <c r="H337">
        <v>60</v>
      </c>
      <c r="I337">
        <f t="shared" si="134"/>
        <v>60</v>
      </c>
      <c r="J337" t="s">
        <v>165</v>
      </c>
      <c r="K337">
        <f>380/12</f>
        <v>31.666666666666668</v>
      </c>
      <c r="M337">
        <f>+K337*G337</f>
        <v>31.666666666666668</v>
      </c>
      <c r="N337">
        <f>+I337-M337</f>
        <v>28.333333333333332</v>
      </c>
    </row>
    <row r="338" spans="1:14" ht="15" customHeight="1" x14ac:dyDescent="0.25">
      <c r="A338">
        <v>337</v>
      </c>
      <c r="B338" s="1">
        <v>43853</v>
      </c>
      <c r="C338" t="s">
        <v>8</v>
      </c>
      <c r="D338" t="s">
        <v>15</v>
      </c>
      <c r="F338" t="s">
        <v>29</v>
      </c>
      <c r="G338">
        <v>10</v>
      </c>
      <c r="H338">
        <v>230</v>
      </c>
      <c r="I338">
        <f t="shared" si="134"/>
        <v>2300</v>
      </c>
      <c r="J338" t="s">
        <v>163</v>
      </c>
      <c r="K338">
        <v>196</v>
      </c>
      <c r="M338">
        <f>+K338*G338</f>
        <v>1960</v>
      </c>
      <c r="N338">
        <f>+I338-M338</f>
        <v>340</v>
      </c>
    </row>
    <row r="339" spans="1:14" ht="15" customHeight="1" x14ac:dyDescent="0.25">
      <c r="A339">
        <v>338</v>
      </c>
      <c r="B339" s="1">
        <v>43853</v>
      </c>
      <c r="C339" t="s">
        <v>8</v>
      </c>
      <c r="D339" t="s">
        <v>64</v>
      </c>
      <c r="F339" t="s">
        <v>82</v>
      </c>
      <c r="G339">
        <v>0.92600000000000005</v>
      </c>
      <c r="H339">
        <v>430</v>
      </c>
      <c r="I339">
        <f t="shared" si="134"/>
        <v>398.18</v>
      </c>
      <c r="J339" t="s">
        <v>13</v>
      </c>
      <c r="K339">
        <v>326</v>
      </c>
      <c r="M339">
        <f t="shared" ref="M339:M340" si="143">+K339*G339</f>
        <v>301.87600000000003</v>
      </c>
      <c r="N339">
        <f t="shared" ref="N339:N340" si="144">+I339-M339</f>
        <v>96.303999999999974</v>
      </c>
    </row>
    <row r="340" spans="1:14" ht="15" customHeight="1" x14ac:dyDescent="0.25">
      <c r="A340">
        <v>339</v>
      </c>
      <c r="B340" s="1">
        <v>43853</v>
      </c>
      <c r="C340" t="s">
        <v>8</v>
      </c>
      <c r="D340" t="s">
        <v>55</v>
      </c>
      <c r="F340" t="s">
        <v>22</v>
      </c>
      <c r="G340">
        <f>25/17</f>
        <v>1.4705882352941178</v>
      </c>
      <c r="H340">
        <v>290</v>
      </c>
      <c r="I340">
        <f t="shared" si="134"/>
        <v>426.47058823529414</v>
      </c>
      <c r="J340" t="s">
        <v>13</v>
      </c>
      <c r="K340">
        <v>271</v>
      </c>
      <c r="M340">
        <f t="shared" si="143"/>
        <v>398.52941176470591</v>
      </c>
      <c r="N340">
        <f t="shared" si="144"/>
        <v>27.941176470588232</v>
      </c>
    </row>
    <row r="341" spans="1:14" ht="15" customHeight="1" x14ac:dyDescent="0.25">
      <c r="A341">
        <v>340</v>
      </c>
      <c r="B341" s="1">
        <v>43854</v>
      </c>
      <c r="C341" t="s">
        <v>8</v>
      </c>
      <c r="D341" t="s">
        <v>15</v>
      </c>
      <c r="F341" t="s">
        <v>29</v>
      </c>
      <c r="G341">
        <v>1.53</v>
      </c>
      <c r="H341">
        <v>230</v>
      </c>
      <c r="I341">
        <f t="shared" si="134"/>
        <v>351.90000000000003</v>
      </c>
      <c r="J341" t="s">
        <v>163</v>
      </c>
      <c r="K341">
        <v>196</v>
      </c>
      <c r="M341">
        <f t="shared" ref="M341:M346" si="145">+K341*G341</f>
        <v>299.88</v>
      </c>
      <c r="N341">
        <f t="shared" ref="N341:N346" si="146">+I341-M341</f>
        <v>52.020000000000039</v>
      </c>
    </row>
    <row r="342" spans="1:14" ht="15" customHeight="1" x14ac:dyDescent="0.25">
      <c r="A342">
        <v>341</v>
      </c>
      <c r="B342" s="1">
        <v>43854</v>
      </c>
      <c r="C342" t="s">
        <v>8</v>
      </c>
      <c r="D342" t="s">
        <v>15</v>
      </c>
      <c r="F342" t="s">
        <v>19</v>
      </c>
      <c r="G342">
        <f>7/9</f>
        <v>0.77777777777777779</v>
      </c>
      <c r="H342">
        <v>290</v>
      </c>
      <c r="I342">
        <f t="shared" si="134"/>
        <v>225.55555555555557</v>
      </c>
      <c r="J342" t="s">
        <v>13</v>
      </c>
      <c r="K342">
        <v>271</v>
      </c>
      <c r="M342">
        <f t="shared" si="145"/>
        <v>210.77777777777777</v>
      </c>
      <c r="N342">
        <f t="shared" si="146"/>
        <v>14.7777777777778</v>
      </c>
    </row>
    <row r="343" spans="1:14" ht="15" customHeight="1" x14ac:dyDescent="0.25">
      <c r="A343">
        <v>342</v>
      </c>
      <c r="B343" s="1">
        <v>43854</v>
      </c>
      <c r="C343" t="s">
        <v>8</v>
      </c>
      <c r="D343" t="s">
        <v>25</v>
      </c>
      <c r="F343" t="s">
        <v>58</v>
      </c>
      <c r="G343">
        <v>2</v>
      </c>
      <c r="H343">
        <v>60</v>
      </c>
      <c r="I343">
        <f t="shared" si="134"/>
        <v>120</v>
      </c>
      <c r="J343" t="s">
        <v>165</v>
      </c>
      <c r="K343">
        <f>380/12</f>
        <v>31.666666666666668</v>
      </c>
      <c r="M343">
        <f t="shared" si="145"/>
        <v>63.333333333333336</v>
      </c>
      <c r="N343">
        <f t="shared" si="146"/>
        <v>56.666666666666664</v>
      </c>
    </row>
    <row r="344" spans="1:14" ht="15" customHeight="1" x14ac:dyDescent="0.25">
      <c r="A344">
        <v>343</v>
      </c>
      <c r="B344" s="1">
        <v>43854</v>
      </c>
      <c r="C344" t="s">
        <v>8</v>
      </c>
      <c r="D344" t="s">
        <v>56</v>
      </c>
      <c r="F344" t="s">
        <v>38</v>
      </c>
      <c r="G344">
        <v>4</v>
      </c>
      <c r="H344">
        <v>110</v>
      </c>
      <c r="I344">
        <f t="shared" si="134"/>
        <v>440</v>
      </c>
      <c r="J344" t="s">
        <v>164</v>
      </c>
      <c r="K344">
        <v>70</v>
      </c>
      <c r="M344">
        <f t="shared" si="145"/>
        <v>280</v>
      </c>
      <c r="N344">
        <f t="shared" si="146"/>
        <v>160</v>
      </c>
    </row>
    <row r="345" spans="1:14" ht="15" customHeight="1" x14ac:dyDescent="0.25">
      <c r="A345">
        <v>344</v>
      </c>
      <c r="B345" s="1">
        <v>43854</v>
      </c>
      <c r="C345" t="s">
        <v>8</v>
      </c>
      <c r="D345" t="s">
        <v>15</v>
      </c>
      <c r="F345" t="s">
        <v>96</v>
      </c>
      <c r="G345">
        <v>2.5</v>
      </c>
      <c r="H345">
        <v>230</v>
      </c>
      <c r="I345">
        <f t="shared" si="134"/>
        <v>575</v>
      </c>
      <c r="J345" t="s">
        <v>163</v>
      </c>
      <c r="K345">
        <v>182</v>
      </c>
      <c r="M345">
        <f t="shared" si="145"/>
        <v>455</v>
      </c>
      <c r="N345">
        <f t="shared" si="146"/>
        <v>120</v>
      </c>
    </row>
    <row r="346" spans="1:14" ht="15" customHeight="1" x14ac:dyDescent="0.25">
      <c r="A346">
        <v>345</v>
      </c>
      <c r="B346" s="1">
        <v>43854</v>
      </c>
      <c r="C346" t="s">
        <v>8</v>
      </c>
      <c r="D346" t="s">
        <v>15</v>
      </c>
      <c r="F346" t="s">
        <v>45</v>
      </c>
      <c r="G346">
        <f>5/9</f>
        <v>0.55555555555555558</v>
      </c>
      <c r="H346">
        <v>290</v>
      </c>
      <c r="I346">
        <f t="shared" si="134"/>
        <v>161.11111111111111</v>
      </c>
      <c r="J346" t="s">
        <v>13</v>
      </c>
      <c r="K346">
        <v>271</v>
      </c>
      <c r="M346">
        <f t="shared" si="145"/>
        <v>150.55555555555557</v>
      </c>
      <c r="N346">
        <f t="shared" si="146"/>
        <v>10.555555555555543</v>
      </c>
    </row>
    <row r="347" spans="1:14" ht="15" customHeight="1" x14ac:dyDescent="0.25">
      <c r="A347">
        <v>346</v>
      </c>
      <c r="B347" s="1">
        <v>43854</v>
      </c>
      <c r="C347" t="s">
        <v>8</v>
      </c>
      <c r="D347" t="s">
        <v>15</v>
      </c>
      <c r="F347" t="s">
        <v>28</v>
      </c>
      <c r="G347">
        <f>4/9</f>
        <v>0.44444444444444442</v>
      </c>
      <c r="H347">
        <v>230</v>
      </c>
      <c r="I347">
        <f t="shared" si="134"/>
        <v>102.22222222222221</v>
      </c>
      <c r="J347" t="s">
        <v>163</v>
      </c>
      <c r="K347">
        <v>182</v>
      </c>
      <c r="M347">
        <f t="shared" ref="M347:M350" si="147">+K347*G347</f>
        <v>80.888888888888886</v>
      </c>
      <c r="N347">
        <f t="shared" ref="N347:N350" si="148">+I347-M347</f>
        <v>21.333333333333329</v>
      </c>
    </row>
    <row r="348" spans="1:14" ht="15" customHeight="1" x14ac:dyDescent="0.25">
      <c r="A348">
        <v>347</v>
      </c>
      <c r="B348" s="1">
        <v>43854</v>
      </c>
      <c r="C348" t="s">
        <v>8</v>
      </c>
      <c r="D348" t="s">
        <v>15</v>
      </c>
      <c r="F348" t="s">
        <v>29</v>
      </c>
      <c r="G348">
        <v>10</v>
      </c>
      <c r="H348">
        <v>230</v>
      </c>
      <c r="I348">
        <f t="shared" si="134"/>
        <v>2300</v>
      </c>
      <c r="J348" t="s">
        <v>163</v>
      </c>
      <c r="K348">
        <v>196</v>
      </c>
      <c r="M348">
        <f t="shared" si="147"/>
        <v>1960</v>
      </c>
      <c r="N348">
        <f t="shared" si="148"/>
        <v>340</v>
      </c>
    </row>
    <row r="349" spans="1:14" ht="15" customHeight="1" x14ac:dyDescent="0.25">
      <c r="A349">
        <v>348</v>
      </c>
      <c r="B349" s="1">
        <v>43854</v>
      </c>
      <c r="C349" t="s">
        <v>8</v>
      </c>
      <c r="D349" t="s">
        <v>15</v>
      </c>
      <c r="F349" t="s">
        <v>29</v>
      </c>
      <c r="G349">
        <v>5</v>
      </c>
      <c r="H349">
        <v>230</v>
      </c>
      <c r="I349">
        <f t="shared" si="134"/>
        <v>1150</v>
      </c>
      <c r="J349" t="s">
        <v>163</v>
      </c>
      <c r="K349">
        <v>196</v>
      </c>
      <c r="M349">
        <f t="shared" si="147"/>
        <v>980</v>
      </c>
      <c r="N349">
        <f t="shared" si="148"/>
        <v>170</v>
      </c>
    </row>
    <row r="350" spans="1:14" ht="15" customHeight="1" x14ac:dyDescent="0.25">
      <c r="A350">
        <v>349</v>
      </c>
      <c r="B350" s="1">
        <v>43854</v>
      </c>
      <c r="C350" t="s">
        <v>8</v>
      </c>
      <c r="D350" t="s">
        <v>15</v>
      </c>
      <c r="F350" t="s">
        <v>76</v>
      </c>
      <c r="G350">
        <v>22.5</v>
      </c>
      <c r="H350">
        <v>230</v>
      </c>
      <c r="I350">
        <f t="shared" si="134"/>
        <v>5175</v>
      </c>
      <c r="J350" t="s">
        <v>163</v>
      </c>
      <c r="K350">
        <v>176</v>
      </c>
      <c r="M350">
        <f t="shared" si="147"/>
        <v>3960</v>
      </c>
      <c r="N350">
        <f t="shared" si="148"/>
        <v>1215</v>
      </c>
    </row>
    <row r="351" spans="1:14" ht="15" customHeight="1" x14ac:dyDescent="0.25">
      <c r="A351">
        <v>350</v>
      </c>
      <c r="B351" s="1">
        <v>43854</v>
      </c>
      <c r="C351" t="s">
        <v>8</v>
      </c>
      <c r="D351" t="s">
        <v>25</v>
      </c>
      <c r="F351" t="s">
        <v>58</v>
      </c>
      <c r="G351">
        <v>2</v>
      </c>
      <c r="H351">
        <v>60</v>
      </c>
      <c r="I351">
        <f t="shared" si="134"/>
        <v>120</v>
      </c>
      <c r="J351" t="s">
        <v>165</v>
      </c>
      <c r="K351">
        <f>380/12</f>
        <v>31.666666666666668</v>
      </c>
      <c r="M351">
        <f>+K351*G351</f>
        <v>63.333333333333336</v>
      </c>
      <c r="N351">
        <f>+I351-M351</f>
        <v>56.666666666666664</v>
      </c>
    </row>
    <row r="352" spans="1:14" ht="15" customHeight="1" x14ac:dyDescent="0.25">
      <c r="A352">
        <v>351</v>
      </c>
      <c r="B352" s="1">
        <v>43854</v>
      </c>
      <c r="C352" t="s">
        <v>8</v>
      </c>
      <c r="D352" t="s">
        <v>56</v>
      </c>
      <c r="F352" t="s">
        <v>267</v>
      </c>
      <c r="G352">
        <v>0.71</v>
      </c>
      <c r="H352">
        <v>170</v>
      </c>
      <c r="I352">
        <f t="shared" si="134"/>
        <v>120.69999999999999</v>
      </c>
      <c r="J352" t="s">
        <v>163</v>
      </c>
      <c r="K352">
        <v>130</v>
      </c>
      <c r="M352">
        <f t="shared" ref="M352:M354" si="149">+K352*G352</f>
        <v>92.3</v>
      </c>
      <c r="N352">
        <f t="shared" ref="N352:N354" si="150">+I352-M352</f>
        <v>28.399999999999991</v>
      </c>
    </row>
    <row r="353" spans="1:14" ht="15" customHeight="1" x14ac:dyDescent="0.25">
      <c r="A353">
        <v>352</v>
      </c>
      <c r="B353" s="1">
        <v>43854</v>
      </c>
      <c r="C353" t="s">
        <v>8</v>
      </c>
      <c r="D353" t="s">
        <v>15</v>
      </c>
      <c r="F353" t="s">
        <v>28</v>
      </c>
      <c r="G353">
        <v>2</v>
      </c>
      <c r="H353">
        <v>230</v>
      </c>
      <c r="I353">
        <f t="shared" si="134"/>
        <v>460</v>
      </c>
      <c r="J353" t="s">
        <v>163</v>
      </c>
      <c r="K353">
        <v>182</v>
      </c>
      <c r="M353">
        <f t="shared" si="149"/>
        <v>364</v>
      </c>
      <c r="N353">
        <f t="shared" si="150"/>
        <v>96</v>
      </c>
    </row>
    <row r="354" spans="1:14" ht="15" customHeight="1" x14ac:dyDescent="0.25">
      <c r="A354">
        <v>353</v>
      </c>
      <c r="B354" s="1">
        <v>43854</v>
      </c>
      <c r="C354" t="s">
        <v>8</v>
      </c>
      <c r="D354" t="s">
        <v>15</v>
      </c>
      <c r="F354" t="s">
        <v>29</v>
      </c>
      <c r="G354">
        <v>1</v>
      </c>
      <c r="H354">
        <v>230</v>
      </c>
      <c r="I354">
        <f t="shared" si="134"/>
        <v>230</v>
      </c>
      <c r="J354" t="s">
        <v>163</v>
      </c>
      <c r="K354">
        <v>196</v>
      </c>
      <c r="M354">
        <f t="shared" si="149"/>
        <v>196</v>
      </c>
      <c r="N354">
        <f t="shared" si="150"/>
        <v>34</v>
      </c>
    </row>
    <row r="355" spans="1:14" ht="15" customHeight="1" x14ac:dyDescent="0.25">
      <c r="A355">
        <v>354</v>
      </c>
      <c r="B355" s="1">
        <v>43854</v>
      </c>
      <c r="C355" t="s">
        <v>8</v>
      </c>
      <c r="D355" t="s">
        <v>55</v>
      </c>
      <c r="F355" t="s">
        <v>146</v>
      </c>
      <c r="G355">
        <f>14/17</f>
        <v>0.82352941176470584</v>
      </c>
      <c r="H355">
        <v>290</v>
      </c>
      <c r="I355">
        <f t="shared" si="134"/>
        <v>238.8235294117647</v>
      </c>
      <c r="J355" t="s">
        <v>13</v>
      </c>
      <c r="K355">
        <v>271</v>
      </c>
      <c r="M355">
        <f t="shared" ref="M355:M363" si="151">+K355*G355</f>
        <v>223.17647058823528</v>
      </c>
      <c r="N355">
        <f t="shared" ref="N355:N362" si="152">+I355-M355</f>
        <v>15.64705882352942</v>
      </c>
    </row>
    <row r="356" spans="1:14" ht="15" customHeight="1" x14ac:dyDescent="0.25">
      <c r="A356">
        <v>355</v>
      </c>
      <c r="B356" s="1">
        <v>43854</v>
      </c>
      <c r="C356" t="s">
        <v>8</v>
      </c>
      <c r="D356" t="s">
        <v>25</v>
      </c>
      <c r="F356" t="s">
        <v>137</v>
      </c>
      <c r="G356">
        <v>1</v>
      </c>
      <c r="H356">
        <v>60</v>
      </c>
      <c r="I356">
        <f t="shared" si="134"/>
        <v>60</v>
      </c>
      <c r="J356" t="s">
        <v>165</v>
      </c>
      <c r="K356">
        <f>380/12</f>
        <v>31.666666666666668</v>
      </c>
      <c r="M356">
        <f t="shared" si="151"/>
        <v>31.666666666666668</v>
      </c>
      <c r="N356">
        <f t="shared" si="152"/>
        <v>28.333333333333332</v>
      </c>
    </row>
    <row r="357" spans="1:14" ht="15" customHeight="1" x14ac:dyDescent="0.25">
      <c r="A357">
        <v>356</v>
      </c>
      <c r="B357" s="1">
        <v>43854</v>
      </c>
      <c r="C357" t="s">
        <v>8</v>
      </c>
      <c r="D357" t="s">
        <v>56</v>
      </c>
      <c r="F357" t="s">
        <v>38</v>
      </c>
      <c r="G357">
        <v>2</v>
      </c>
      <c r="H357">
        <v>110</v>
      </c>
      <c r="I357">
        <f t="shared" si="134"/>
        <v>220</v>
      </c>
      <c r="J357" t="s">
        <v>164</v>
      </c>
      <c r="K357">
        <v>70</v>
      </c>
      <c r="M357">
        <f t="shared" si="151"/>
        <v>140</v>
      </c>
      <c r="N357">
        <f t="shared" si="152"/>
        <v>80</v>
      </c>
    </row>
    <row r="358" spans="1:14" ht="15" customHeight="1" x14ac:dyDescent="0.25">
      <c r="A358">
        <v>357</v>
      </c>
      <c r="B358" s="1">
        <v>43854</v>
      </c>
      <c r="C358" t="s">
        <v>8</v>
      </c>
      <c r="D358" t="s">
        <v>25</v>
      </c>
      <c r="F358" t="s">
        <v>147</v>
      </c>
      <c r="G358">
        <v>1</v>
      </c>
      <c r="H358">
        <v>60</v>
      </c>
      <c r="I358">
        <f t="shared" si="134"/>
        <v>60</v>
      </c>
      <c r="J358" t="s">
        <v>165</v>
      </c>
      <c r="K358">
        <f>380/12</f>
        <v>31.666666666666668</v>
      </c>
      <c r="M358">
        <f t="shared" si="151"/>
        <v>31.666666666666668</v>
      </c>
      <c r="N358">
        <f t="shared" si="152"/>
        <v>28.333333333333332</v>
      </c>
    </row>
    <row r="359" spans="1:14" ht="15" customHeight="1" x14ac:dyDescent="0.25">
      <c r="A359">
        <v>358</v>
      </c>
      <c r="B359" s="1">
        <v>43854</v>
      </c>
      <c r="C359" t="s">
        <v>8</v>
      </c>
      <c r="D359" t="s">
        <v>56</v>
      </c>
      <c r="F359" t="s">
        <v>267</v>
      </c>
      <c r="G359">
        <v>8</v>
      </c>
      <c r="H359">
        <v>170</v>
      </c>
      <c r="I359">
        <f t="shared" si="134"/>
        <v>1360</v>
      </c>
      <c r="J359" t="s">
        <v>163</v>
      </c>
      <c r="K359">
        <v>130</v>
      </c>
      <c r="M359">
        <f t="shared" si="151"/>
        <v>1040</v>
      </c>
      <c r="N359">
        <f t="shared" si="152"/>
        <v>320</v>
      </c>
    </row>
    <row r="360" spans="1:14" ht="15" customHeight="1" x14ac:dyDescent="0.25">
      <c r="A360">
        <v>359</v>
      </c>
      <c r="B360" s="1">
        <v>43854</v>
      </c>
      <c r="C360" t="s">
        <v>8</v>
      </c>
      <c r="D360" t="s">
        <v>15</v>
      </c>
      <c r="F360" t="s">
        <v>17</v>
      </c>
      <c r="G360">
        <v>9</v>
      </c>
      <c r="H360">
        <v>360</v>
      </c>
      <c r="I360">
        <f t="shared" si="134"/>
        <v>3240</v>
      </c>
      <c r="J360" t="s">
        <v>13</v>
      </c>
      <c r="K360">
        <v>326</v>
      </c>
      <c r="M360">
        <f t="shared" si="151"/>
        <v>2934</v>
      </c>
      <c r="N360">
        <f t="shared" si="152"/>
        <v>306</v>
      </c>
    </row>
    <row r="361" spans="1:14" ht="15" customHeight="1" x14ac:dyDescent="0.25">
      <c r="A361">
        <v>360</v>
      </c>
      <c r="B361" s="1">
        <v>43855</v>
      </c>
      <c r="C361" t="s">
        <v>8</v>
      </c>
      <c r="D361" t="s">
        <v>15</v>
      </c>
      <c r="F361" t="s">
        <v>52</v>
      </c>
      <c r="G361">
        <v>8.33</v>
      </c>
      <c r="H361">
        <v>240</v>
      </c>
      <c r="I361">
        <f t="shared" si="134"/>
        <v>1999.2</v>
      </c>
      <c r="J361" t="s">
        <v>163</v>
      </c>
      <c r="K361">
        <v>200</v>
      </c>
      <c r="M361">
        <f t="shared" si="151"/>
        <v>1666</v>
      </c>
      <c r="N361">
        <f t="shared" si="152"/>
        <v>333.20000000000005</v>
      </c>
    </row>
    <row r="362" spans="1:14" ht="15" customHeight="1" x14ac:dyDescent="0.25">
      <c r="A362">
        <v>361</v>
      </c>
      <c r="B362" s="1">
        <v>43855</v>
      </c>
      <c r="C362" t="s">
        <v>8</v>
      </c>
      <c r="D362" t="s">
        <v>44</v>
      </c>
      <c r="F362" t="s">
        <v>44</v>
      </c>
      <c r="G362">
        <v>1</v>
      </c>
      <c r="H362">
        <v>35</v>
      </c>
      <c r="I362">
        <f t="shared" si="134"/>
        <v>35</v>
      </c>
      <c r="J362" t="s">
        <v>166</v>
      </c>
      <c r="K362">
        <v>20</v>
      </c>
      <c r="M362">
        <f t="shared" si="151"/>
        <v>20</v>
      </c>
      <c r="N362">
        <f t="shared" si="152"/>
        <v>15</v>
      </c>
    </row>
    <row r="363" spans="1:14" ht="15" customHeight="1" x14ac:dyDescent="0.25">
      <c r="A363">
        <v>362</v>
      </c>
      <c r="B363" s="1">
        <v>43855</v>
      </c>
      <c r="C363" t="s">
        <v>8</v>
      </c>
      <c r="D363" t="s">
        <v>25</v>
      </c>
      <c r="F363" t="s">
        <v>60</v>
      </c>
      <c r="G363">
        <v>2</v>
      </c>
      <c r="H363">
        <v>60</v>
      </c>
      <c r="I363">
        <f t="shared" si="134"/>
        <v>120</v>
      </c>
      <c r="J363" t="s">
        <v>165</v>
      </c>
      <c r="K363">
        <f>380/12</f>
        <v>31.666666666666668</v>
      </c>
      <c r="M363">
        <f t="shared" si="151"/>
        <v>63.333333333333336</v>
      </c>
      <c r="N363">
        <f t="shared" ref="N363:N365" si="153">+I363-M363</f>
        <v>56.666666666666664</v>
      </c>
    </row>
    <row r="364" spans="1:14" ht="15" customHeight="1" x14ac:dyDescent="0.25">
      <c r="A364">
        <v>363</v>
      </c>
      <c r="B364" s="1">
        <v>43855</v>
      </c>
      <c r="C364" t="s">
        <v>8</v>
      </c>
      <c r="D364" t="s">
        <v>25</v>
      </c>
      <c r="F364" t="s">
        <v>128</v>
      </c>
      <c r="G364">
        <v>1</v>
      </c>
      <c r="H364">
        <v>60</v>
      </c>
      <c r="I364">
        <f t="shared" si="134"/>
        <v>60</v>
      </c>
      <c r="J364" t="s">
        <v>165</v>
      </c>
      <c r="K364">
        <f t="shared" ref="K364:K365" si="154">380/12</f>
        <v>31.666666666666668</v>
      </c>
      <c r="M364">
        <f t="shared" ref="M364:M365" si="155">+K364*G364</f>
        <v>31.666666666666668</v>
      </c>
      <c r="N364">
        <f t="shared" si="153"/>
        <v>28.333333333333332</v>
      </c>
    </row>
    <row r="365" spans="1:14" ht="15" customHeight="1" x14ac:dyDescent="0.25">
      <c r="A365">
        <v>364</v>
      </c>
      <c r="B365" s="1">
        <v>43855</v>
      </c>
      <c r="C365" t="s">
        <v>8</v>
      </c>
      <c r="D365" t="s">
        <v>25</v>
      </c>
      <c r="F365" t="s">
        <v>148</v>
      </c>
      <c r="G365">
        <v>1</v>
      </c>
      <c r="H365">
        <v>60</v>
      </c>
      <c r="I365">
        <f t="shared" si="134"/>
        <v>60</v>
      </c>
      <c r="J365" t="s">
        <v>165</v>
      </c>
      <c r="K365">
        <f t="shared" si="154"/>
        <v>31.666666666666668</v>
      </c>
      <c r="M365">
        <f t="shared" si="155"/>
        <v>31.666666666666668</v>
      </c>
      <c r="N365">
        <f t="shared" si="153"/>
        <v>28.333333333333332</v>
      </c>
    </row>
    <row r="366" spans="1:14" ht="15" customHeight="1" x14ac:dyDescent="0.25">
      <c r="A366">
        <v>365</v>
      </c>
      <c r="B366" s="1">
        <v>43855</v>
      </c>
      <c r="C366" t="s">
        <v>8</v>
      </c>
      <c r="D366" t="s">
        <v>15</v>
      </c>
      <c r="F366" t="s">
        <v>20</v>
      </c>
      <c r="G366">
        <v>0.2</v>
      </c>
      <c r="H366">
        <v>250</v>
      </c>
      <c r="I366">
        <f t="shared" si="134"/>
        <v>50</v>
      </c>
      <c r="J366" t="s">
        <v>163</v>
      </c>
      <c r="K366">
        <v>216</v>
      </c>
      <c r="M366">
        <f t="shared" ref="M366:M378" si="156">+K366*G366</f>
        <v>43.2</v>
      </c>
      <c r="N366">
        <f t="shared" ref="N366:N378" si="157">+I366-M366</f>
        <v>6.7999999999999972</v>
      </c>
    </row>
    <row r="367" spans="1:14" ht="15" customHeight="1" x14ac:dyDescent="0.25">
      <c r="A367">
        <v>366</v>
      </c>
      <c r="B367" s="1">
        <v>43855</v>
      </c>
      <c r="C367" t="s">
        <v>8</v>
      </c>
      <c r="D367" t="s">
        <v>15</v>
      </c>
      <c r="F367" t="s">
        <v>17</v>
      </c>
      <c r="G367">
        <v>9</v>
      </c>
      <c r="H367">
        <v>360</v>
      </c>
      <c r="I367">
        <f t="shared" si="134"/>
        <v>3240</v>
      </c>
      <c r="J367" t="s">
        <v>13</v>
      </c>
      <c r="K367">
        <v>326</v>
      </c>
      <c r="M367">
        <f t="shared" si="156"/>
        <v>2934</v>
      </c>
      <c r="N367">
        <f t="shared" si="157"/>
        <v>306</v>
      </c>
    </row>
    <row r="368" spans="1:14" ht="15" customHeight="1" x14ac:dyDescent="0.25">
      <c r="A368">
        <v>367</v>
      </c>
      <c r="B368" s="1">
        <v>43855</v>
      </c>
      <c r="C368" t="s">
        <v>8</v>
      </c>
      <c r="D368" t="s">
        <v>56</v>
      </c>
      <c r="F368" t="s">
        <v>267</v>
      </c>
      <c r="G368">
        <v>7</v>
      </c>
      <c r="H368">
        <v>170</v>
      </c>
      <c r="I368">
        <f t="shared" si="134"/>
        <v>1190</v>
      </c>
      <c r="J368" t="s">
        <v>163</v>
      </c>
      <c r="K368">
        <v>130</v>
      </c>
      <c r="M368">
        <f t="shared" si="156"/>
        <v>910</v>
      </c>
      <c r="N368">
        <f t="shared" si="157"/>
        <v>280</v>
      </c>
    </row>
    <row r="369" spans="1:14" ht="15" customHeight="1" x14ac:dyDescent="0.25">
      <c r="A369">
        <v>368</v>
      </c>
      <c r="B369" s="1">
        <v>43855</v>
      </c>
      <c r="C369" t="s">
        <v>8</v>
      </c>
      <c r="D369" t="s">
        <v>55</v>
      </c>
      <c r="F369" t="s">
        <v>149</v>
      </c>
      <c r="G369">
        <v>4</v>
      </c>
      <c r="H369">
        <v>290</v>
      </c>
      <c r="I369">
        <f t="shared" si="134"/>
        <v>1160</v>
      </c>
      <c r="J369" t="s">
        <v>13</v>
      </c>
      <c r="K369">
        <v>271</v>
      </c>
      <c r="M369">
        <f t="shared" si="156"/>
        <v>1084</v>
      </c>
      <c r="N369">
        <f t="shared" si="157"/>
        <v>76</v>
      </c>
    </row>
    <row r="370" spans="1:14" ht="15" customHeight="1" x14ac:dyDescent="0.25">
      <c r="A370">
        <v>369</v>
      </c>
      <c r="B370" s="1">
        <v>43855</v>
      </c>
      <c r="C370" t="s">
        <v>8</v>
      </c>
      <c r="D370" t="s">
        <v>44</v>
      </c>
      <c r="F370" t="s">
        <v>77</v>
      </c>
      <c r="G370">
        <v>1</v>
      </c>
      <c r="H370">
        <v>35</v>
      </c>
      <c r="I370">
        <f t="shared" si="134"/>
        <v>35</v>
      </c>
      <c r="J370" t="s">
        <v>166</v>
      </c>
      <c r="K370">
        <v>20</v>
      </c>
      <c r="M370">
        <f t="shared" si="156"/>
        <v>20</v>
      </c>
      <c r="N370">
        <f t="shared" si="157"/>
        <v>15</v>
      </c>
    </row>
    <row r="371" spans="1:14" ht="15" customHeight="1" x14ac:dyDescent="0.25">
      <c r="A371">
        <v>370</v>
      </c>
      <c r="B371" s="1">
        <v>43855</v>
      </c>
      <c r="C371" t="s">
        <v>8</v>
      </c>
      <c r="D371" t="s">
        <v>25</v>
      </c>
      <c r="F371" t="s">
        <v>83</v>
      </c>
      <c r="G371">
        <v>1</v>
      </c>
      <c r="H371">
        <v>60</v>
      </c>
      <c r="I371">
        <f t="shared" si="134"/>
        <v>60</v>
      </c>
      <c r="J371" t="s">
        <v>165</v>
      </c>
      <c r="K371">
        <f t="shared" ref="K371" si="158">380/12</f>
        <v>31.666666666666668</v>
      </c>
      <c r="M371">
        <f t="shared" si="156"/>
        <v>31.666666666666668</v>
      </c>
      <c r="N371">
        <f t="shared" si="157"/>
        <v>28.333333333333332</v>
      </c>
    </row>
    <row r="372" spans="1:14" ht="15" customHeight="1" x14ac:dyDescent="0.25">
      <c r="A372">
        <v>371</v>
      </c>
      <c r="B372" s="1">
        <v>43855</v>
      </c>
      <c r="C372" t="s">
        <v>8</v>
      </c>
      <c r="D372" t="s">
        <v>15</v>
      </c>
      <c r="F372" t="s">
        <v>28</v>
      </c>
      <c r="G372">
        <v>10</v>
      </c>
      <c r="H372">
        <v>230</v>
      </c>
      <c r="I372">
        <f t="shared" si="134"/>
        <v>2300</v>
      </c>
      <c r="J372" t="s">
        <v>163</v>
      </c>
      <c r="K372">
        <v>182</v>
      </c>
      <c r="M372">
        <f t="shared" si="156"/>
        <v>1820</v>
      </c>
      <c r="N372">
        <f t="shared" si="157"/>
        <v>480</v>
      </c>
    </row>
    <row r="373" spans="1:14" ht="15" customHeight="1" x14ac:dyDescent="0.25">
      <c r="A373">
        <v>372</v>
      </c>
      <c r="B373" s="1">
        <v>43855</v>
      </c>
      <c r="C373" t="s">
        <v>8</v>
      </c>
      <c r="D373" t="s">
        <v>25</v>
      </c>
      <c r="F373" t="s">
        <v>128</v>
      </c>
      <c r="G373">
        <v>1</v>
      </c>
      <c r="H373">
        <v>60</v>
      </c>
      <c r="I373">
        <f t="shared" si="134"/>
        <v>60</v>
      </c>
      <c r="J373" t="s">
        <v>165</v>
      </c>
      <c r="K373">
        <f t="shared" ref="K373" si="159">380/12</f>
        <v>31.666666666666668</v>
      </c>
      <c r="M373">
        <f t="shared" si="156"/>
        <v>31.666666666666668</v>
      </c>
      <c r="N373">
        <f t="shared" si="157"/>
        <v>28.333333333333332</v>
      </c>
    </row>
    <row r="374" spans="1:14" ht="15" customHeight="1" x14ac:dyDescent="0.25">
      <c r="A374">
        <v>373</v>
      </c>
      <c r="B374" s="1">
        <v>43855</v>
      </c>
      <c r="C374" t="s">
        <v>8</v>
      </c>
      <c r="D374" t="s">
        <v>15</v>
      </c>
      <c r="F374" t="s">
        <v>52</v>
      </c>
      <c r="G374">
        <v>5.66</v>
      </c>
      <c r="H374">
        <v>240</v>
      </c>
      <c r="I374">
        <f t="shared" si="134"/>
        <v>1358.4</v>
      </c>
      <c r="J374" t="s">
        <v>163</v>
      </c>
      <c r="K374">
        <v>200</v>
      </c>
      <c r="M374">
        <f t="shared" si="156"/>
        <v>1132</v>
      </c>
      <c r="N374">
        <f t="shared" si="157"/>
        <v>226.40000000000009</v>
      </c>
    </row>
    <row r="375" spans="1:14" ht="15" customHeight="1" x14ac:dyDescent="0.25">
      <c r="A375">
        <v>374</v>
      </c>
      <c r="B375" s="1">
        <v>43857</v>
      </c>
      <c r="C375" t="s">
        <v>8</v>
      </c>
      <c r="D375" t="s">
        <v>25</v>
      </c>
      <c r="F375" t="s">
        <v>57</v>
      </c>
      <c r="G375">
        <v>1</v>
      </c>
      <c r="H375">
        <v>60</v>
      </c>
      <c r="I375">
        <f t="shared" si="134"/>
        <v>60</v>
      </c>
      <c r="J375" t="s">
        <v>165</v>
      </c>
      <c r="K375">
        <f t="shared" ref="K375" si="160">380/12</f>
        <v>31.666666666666668</v>
      </c>
      <c r="M375">
        <f t="shared" si="156"/>
        <v>31.666666666666668</v>
      </c>
      <c r="N375">
        <f t="shared" si="157"/>
        <v>28.333333333333332</v>
      </c>
    </row>
    <row r="376" spans="1:14" ht="15" customHeight="1" x14ac:dyDescent="0.25">
      <c r="A376">
        <v>375</v>
      </c>
      <c r="B376" s="1">
        <v>43857</v>
      </c>
      <c r="C376" t="s">
        <v>8</v>
      </c>
      <c r="D376" t="s">
        <v>55</v>
      </c>
      <c r="F376" t="s">
        <v>97</v>
      </c>
      <c r="G376">
        <v>1</v>
      </c>
      <c r="H376">
        <v>280</v>
      </c>
      <c r="I376">
        <f t="shared" si="134"/>
        <v>280</v>
      </c>
      <c r="J376" t="s">
        <v>13</v>
      </c>
      <c r="K376">
        <v>271</v>
      </c>
      <c r="M376">
        <f t="shared" si="156"/>
        <v>271</v>
      </c>
      <c r="N376">
        <f t="shared" si="157"/>
        <v>9</v>
      </c>
    </row>
    <row r="377" spans="1:14" ht="15" customHeight="1" x14ac:dyDescent="0.25">
      <c r="A377">
        <v>376</v>
      </c>
      <c r="B377" s="1">
        <v>43857</v>
      </c>
      <c r="C377" t="s">
        <v>8</v>
      </c>
      <c r="D377" t="s">
        <v>15</v>
      </c>
      <c r="F377" t="s">
        <v>28</v>
      </c>
      <c r="G377">
        <v>1</v>
      </c>
      <c r="H377">
        <v>230</v>
      </c>
      <c r="I377">
        <f t="shared" si="134"/>
        <v>230</v>
      </c>
      <c r="J377" t="s">
        <v>163</v>
      </c>
      <c r="K377">
        <v>182</v>
      </c>
      <c r="M377">
        <f t="shared" si="156"/>
        <v>182</v>
      </c>
      <c r="N377">
        <f t="shared" si="157"/>
        <v>48</v>
      </c>
    </row>
    <row r="378" spans="1:14" ht="15" customHeight="1" x14ac:dyDescent="0.25">
      <c r="A378">
        <v>377</v>
      </c>
      <c r="B378" s="1">
        <v>43857</v>
      </c>
      <c r="C378" t="s">
        <v>8</v>
      </c>
      <c r="D378" t="s">
        <v>55</v>
      </c>
      <c r="F378" t="s">
        <v>149</v>
      </c>
      <c r="G378">
        <v>5</v>
      </c>
      <c r="H378">
        <v>290</v>
      </c>
      <c r="I378">
        <f t="shared" si="134"/>
        <v>1450</v>
      </c>
      <c r="J378" t="s">
        <v>13</v>
      </c>
      <c r="K378">
        <v>271</v>
      </c>
      <c r="M378">
        <f t="shared" si="156"/>
        <v>1355</v>
      </c>
      <c r="N378">
        <f t="shared" si="157"/>
        <v>95</v>
      </c>
    </row>
    <row r="379" spans="1:14" ht="15" customHeight="1" x14ac:dyDescent="0.25">
      <c r="A379">
        <v>378</v>
      </c>
      <c r="B379" s="1">
        <v>43857</v>
      </c>
      <c r="C379" t="s">
        <v>8</v>
      </c>
      <c r="D379" t="s">
        <v>15</v>
      </c>
      <c r="F379" t="s">
        <v>29</v>
      </c>
      <c r="G379">
        <v>3</v>
      </c>
      <c r="H379">
        <v>230</v>
      </c>
      <c r="I379">
        <f t="shared" si="134"/>
        <v>690</v>
      </c>
      <c r="J379" t="s">
        <v>163</v>
      </c>
      <c r="K379">
        <v>196</v>
      </c>
      <c r="M379">
        <f t="shared" ref="M379:M384" si="161">+K379*G379</f>
        <v>588</v>
      </c>
      <c r="N379">
        <f t="shared" ref="N379:N384" si="162">+I379-M379</f>
        <v>102</v>
      </c>
    </row>
    <row r="380" spans="1:14" ht="15" customHeight="1" x14ac:dyDescent="0.25">
      <c r="A380">
        <v>379</v>
      </c>
      <c r="B380" s="1">
        <v>43857</v>
      </c>
      <c r="C380" t="s">
        <v>8</v>
      </c>
      <c r="D380" t="s">
        <v>15</v>
      </c>
      <c r="F380" t="s">
        <v>29</v>
      </c>
      <c r="G380">
        <v>2</v>
      </c>
      <c r="H380">
        <v>230</v>
      </c>
      <c r="I380">
        <f t="shared" si="134"/>
        <v>460</v>
      </c>
      <c r="J380" t="s">
        <v>163</v>
      </c>
      <c r="K380">
        <v>196</v>
      </c>
      <c r="M380">
        <f t="shared" si="161"/>
        <v>392</v>
      </c>
      <c r="N380">
        <f t="shared" si="162"/>
        <v>68</v>
      </c>
    </row>
    <row r="381" spans="1:14" ht="15" customHeight="1" x14ac:dyDescent="0.25">
      <c r="A381">
        <v>380</v>
      </c>
      <c r="B381" s="1">
        <v>43857</v>
      </c>
      <c r="C381" t="s">
        <v>8</v>
      </c>
      <c r="D381" t="s">
        <v>75</v>
      </c>
      <c r="F381" t="s">
        <v>150</v>
      </c>
      <c r="G381">
        <v>6</v>
      </c>
      <c r="H381">
        <v>60</v>
      </c>
      <c r="I381">
        <f t="shared" si="134"/>
        <v>360</v>
      </c>
      <c r="J381" t="s">
        <v>163</v>
      </c>
      <c r="K381">
        <v>40</v>
      </c>
      <c r="M381">
        <f t="shared" si="161"/>
        <v>240</v>
      </c>
      <c r="N381">
        <f t="shared" si="162"/>
        <v>120</v>
      </c>
    </row>
    <row r="382" spans="1:14" ht="15" customHeight="1" x14ac:dyDescent="0.25">
      <c r="A382">
        <v>381</v>
      </c>
      <c r="B382" s="1">
        <v>43857</v>
      </c>
      <c r="C382" t="s">
        <v>8</v>
      </c>
      <c r="D382" t="s">
        <v>15</v>
      </c>
      <c r="F382" t="s">
        <v>32</v>
      </c>
      <c r="G382">
        <v>2</v>
      </c>
      <c r="H382">
        <v>280</v>
      </c>
      <c r="I382">
        <f t="shared" si="134"/>
        <v>560</v>
      </c>
      <c r="J382" t="s">
        <v>163</v>
      </c>
      <c r="K382">
        <v>214</v>
      </c>
      <c r="M382">
        <f t="shared" si="161"/>
        <v>428</v>
      </c>
      <c r="N382">
        <f t="shared" si="162"/>
        <v>132</v>
      </c>
    </row>
    <row r="383" spans="1:14" ht="15" customHeight="1" x14ac:dyDescent="0.25">
      <c r="A383">
        <v>382</v>
      </c>
      <c r="B383" s="1">
        <v>43857</v>
      </c>
      <c r="C383" t="s">
        <v>8</v>
      </c>
      <c r="D383" t="s">
        <v>15</v>
      </c>
      <c r="F383" t="s">
        <v>28</v>
      </c>
      <c r="G383">
        <v>4</v>
      </c>
      <c r="H383">
        <v>230</v>
      </c>
      <c r="I383">
        <f t="shared" si="134"/>
        <v>920</v>
      </c>
      <c r="J383" t="s">
        <v>163</v>
      </c>
      <c r="K383">
        <v>182</v>
      </c>
      <c r="M383">
        <f t="shared" si="161"/>
        <v>728</v>
      </c>
      <c r="N383">
        <f t="shared" si="162"/>
        <v>192</v>
      </c>
    </row>
    <row r="384" spans="1:14" ht="15" customHeight="1" x14ac:dyDescent="0.25">
      <c r="A384">
        <v>383</v>
      </c>
      <c r="B384" s="1">
        <v>43857</v>
      </c>
      <c r="C384" t="s">
        <v>8</v>
      </c>
      <c r="D384" t="s">
        <v>44</v>
      </c>
      <c r="F384" t="s">
        <v>133</v>
      </c>
      <c r="G384">
        <v>1</v>
      </c>
      <c r="H384">
        <v>35</v>
      </c>
      <c r="I384">
        <f t="shared" si="134"/>
        <v>35</v>
      </c>
      <c r="J384" t="s">
        <v>166</v>
      </c>
      <c r="K384">
        <v>20</v>
      </c>
      <c r="M384">
        <f t="shared" si="161"/>
        <v>20</v>
      </c>
      <c r="N384">
        <f t="shared" si="162"/>
        <v>15</v>
      </c>
    </row>
    <row r="385" spans="1:14" ht="15" customHeight="1" x14ac:dyDescent="0.25">
      <c r="A385">
        <v>384</v>
      </c>
      <c r="B385" s="1">
        <v>43857</v>
      </c>
      <c r="C385" t="s">
        <v>8</v>
      </c>
      <c r="D385" t="s">
        <v>70</v>
      </c>
      <c r="F385" t="s">
        <v>151</v>
      </c>
      <c r="G385">
        <v>1</v>
      </c>
      <c r="H385">
        <v>1800</v>
      </c>
      <c r="I385">
        <f t="shared" si="134"/>
        <v>1800</v>
      </c>
      <c r="J385" t="s">
        <v>167</v>
      </c>
      <c r="K385">
        <v>1580</v>
      </c>
      <c r="M385">
        <f>+K385*G385</f>
        <v>1580</v>
      </c>
      <c r="N385">
        <f>+I385-M309:M385</f>
        <v>220</v>
      </c>
    </row>
    <row r="386" spans="1:14" ht="15" customHeight="1" x14ac:dyDescent="0.25">
      <c r="A386">
        <v>385</v>
      </c>
      <c r="B386" s="1">
        <v>43857</v>
      </c>
      <c r="C386" t="s">
        <v>8</v>
      </c>
      <c r="D386" t="s">
        <v>70</v>
      </c>
      <c r="F386" t="s">
        <v>152</v>
      </c>
      <c r="G386">
        <v>1</v>
      </c>
      <c r="H386">
        <v>85</v>
      </c>
      <c r="I386">
        <f t="shared" si="134"/>
        <v>85</v>
      </c>
      <c r="J386" t="s">
        <v>163</v>
      </c>
      <c r="K386">
        <v>67</v>
      </c>
      <c r="M386">
        <f t="shared" ref="M386:M388" si="163">+K386*G386</f>
        <v>67</v>
      </c>
      <c r="N386">
        <f t="shared" ref="N386:N388" si="164">+I386-M386</f>
        <v>18</v>
      </c>
    </row>
    <row r="387" spans="1:14" ht="15" customHeight="1" x14ac:dyDescent="0.25">
      <c r="A387">
        <v>386</v>
      </c>
      <c r="B387" s="1">
        <v>43857</v>
      </c>
      <c r="C387" t="s">
        <v>8</v>
      </c>
      <c r="D387" t="s">
        <v>15</v>
      </c>
      <c r="F387" t="s">
        <v>153</v>
      </c>
      <c r="G387">
        <v>1</v>
      </c>
      <c r="H387">
        <v>240</v>
      </c>
      <c r="I387">
        <f t="shared" ref="I387:I450" si="165">+G387*H387</f>
        <v>240</v>
      </c>
      <c r="J387" t="s">
        <v>163</v>
      </c>
      <c r="K387">
        <v>194</v>
      </c>
      <c r="M387">
        <f t="shared" si="163"/>
        <v>194</v>
      </c>
      <c r="N387">
        <f t="shared" si="164"/>
        <v>46</v>
      </c>
    </row>
    <row r="388" spans="1:14" ht="15" customHeight="1" x14ac:dyDescent="0.25">
      <c r="A388">
        <v>387</v>
      </c>
      <c r="B388" s="1">
        <v>43857</v>
      </c>
      <c r="C388" t="s">
        <v>8</v>
      </c>
      <c r="D388" t="s">
        <v>15</v>
      </c>
      <c r="F388" t="s">
        <v>63</v>
      </c>
      <c r="G388">
        <v>1</v>
      </c>
      <c r="H388">
        <v>240</v>
      </c>
      <c r="I388">
        <f t="shared" si="165"/>
        <v>240</v>
      </c>
      <c r="J388" t="s">
        <v>163</v>
      </c>
      <c r="K388">
        <v>204</v>
      </c>
      <c r="M388">
        <f t="shared" si="163"/>
        <v>204</v>
      </c>
      <c r="N388">
        <f t="shared" si="164"/>
        <v>36</v>
      </c>
    </row>
    <row r="389" spans="1:14" ht="15" customHeight="1" x14ac:dyDescent="0.25">
      <c r="A389">
        <v>388</v>
      </c>
      <c r="B389" s="1">
        <v>43857</v>
      </c>
      <c r="C389" t="s">
        <v>8</v>
      </c>
      <c r="D389" t="s">
        <v>24</v>
      </c>
      <c r="F389" t="s">
        <v>24</v>
      </c>
      <c r="G389">
        <v>0.5</v>
      </c>
      <c r="H389">
        <v>100</v>
      </c>
      <c r="I389">
        <f t="shared" si="165"/>
        <v>50</v>
      </c>
      <c r="J389" t="s">
        <v>186</v>
      </c>
      <c r="K389">
        <v>68.22</v>
      </c>
      <c r="M389">
        <f>+K389*G389</f>
        <v>34.11</v>
      </c>
      <c r="N389">
        <f>+I389-M389</f>
        <v>15.89</v>
      </c>
    </row>
    <row r="390" spans="1:14" ht="15" customHeight="1" x14ac:dyDescent="0.25">
      <c r="A390">
        <v>389</v>
      </c>
      <c r="B390" s="1">
        <v>43857</v>
      </c>
      <c r="C390" t="s">
        <v>8</v>
      </c>
      <c r="D390" t="s">
        <v>15</v>
      </c>
      <c r="F390" t="s">
        <v>29</v>
      </c>
      <c r="G390">
        <v>2</v>
      </c>
      <c r="H390">
        <v>230</v>
      </c>
      <c r="I390">
        <f t="shared" si="165"/>
        <v>460</v>
      </c>
      <c r="J390" t="s">
        <v>163</v>
      </c>
      <c r="K390">
        <v>196</v>
      </c>
      <c r="M390">
        <f t="shared" ref="M390:M391" si="166">+K390*G390</f>
        <v>392</v>
      </c>
      <c r="N390">
        <f t="shared" ref="N390:N391" si="167">+I390-M390</f>
        <v>68</v>
      </c>
    </row>
    <row r="391" spans="1:14" ht="15" customHeight="1" x14ac:dyDescent="0.25">
      <c r="A391">
        <v>390</v>
      </c>
      <c r="B391" s="1">
        <v>43858</v>
      </c>
      <c r="C391" t="s">
        <v>8</v>
      </c>
      <c r="D391" t="s">
        <v>15</v>
      </c>
      <c r="F391" t="s">
        <v>54</v>
      </c>
      <c r="G391">
        <v>56</v>
      </c>
      <c r="H391">
        <v>240</v>
      </c>
      <c r="I391">
        <f t="shared" si="165"/>
        <v>13440</v>
      </c>
      <c r="J391" t="s">
        <v>163</v>
      </c>
      <c r="K391">
        <v>212</v>
      </c>
      <c r="M391">
        <f t="shared" si="166"/>
        <v>11872</v>
      </c>
      <c r="N391">
        <f t="shared" si="167"/>
        <v>1568</v>
      </c>
    </row>
    <row r="392" spans="1:14" ht="15" customHeight="1" x14ac:dyDescent="0.25">
      <c r="A392">
        <v>391</v>
      </c>
      <c r="B392" s="1">
        <v>43858</v>
      </c>
      <c r="C392" t="s">
        <v>8</v>
      </c>
      <c r="D392" t="s">
        <v>25</v>
      </c>
      <c r="F392" t="s">
        <v>142</v>
      </c>
      <c r="G392">
        <v>4</v>
      </c>
      <c r="H392">
        <v>60</v>
      </c>
      <c r="I392">
        <f t="shared" si="165"/>
        <v>240</v>
      </c>
      <c r="J392" t="s">
        <v>165</v>
      </c>
      <c r="K392">
        <f t="shared" ref="K392" si="168">380/12</f>
        <v>31.666666666666668</v>
      </c>
      <c r="M392">
        <f>+K392*G392</f>
        <v>126.66666666666667</v>
      </c>
      <c r="N392">
        <f>+I392-M392</f>
        <v>113.33333333333333</v>
      </c>
    </row>
    <row r="393" spans="1:14" ht="15" customHeight="1" x14ac:dyDescent="0.25">
      <c r="A393">
        <v>392</v>
      </c>
      <c r="B393" s="1">
        <v>43858</v>
      </c>
      <c r="C393" t="s">
        <v>8</v>
      </c>
      <c r="D393" t="s">
        <v>44</v>
      </c>
      <c r="F393" t="s">
        <v>133</v>
      </c>
      <c r="G393">
        <v>1</v>
      </c>
      <c r="H393">
        <v>35</v>
      </c>
      <c r="I393">
        <f t="shared" si="165"/>
        <v>35</v>
      </c>
      <c r="J393" t="s">
        <v>166</v>
      </c>
      <c r="K393">
        <v>20</v>
      </c>
      <c r="M393">
        <f t="shared" ref="M393" si="169">+K393*G393</f>
        <v>20</v>
      </c>
      <c r="N393">
        <f t="shared" ref="N393" si="170">+I393-M393</f>
        <v>15</v>
      </c>
    </row>
    <row r="394" spans="1:14" ht="15" customHeight="1" x14ac:dyDescent="0.25">
      <c r="A394">
        <v>393</v>
      </c>
      <c r="B394" s="1">
        <v>43858</v>
      </c>
      <c r="C394" t="s">
        <v>8</v>
      </c>
      <c r="D394" t="s">
        <v>44</v>
      </c>
      <c r="F394" t="s">
        <v>138</v>
      </c>
      <c r="G394">
        <v>1</v>
      </c>
      <c r="H394">
        <v>35</v>
      </c>
      <c r="I394">
        <f t="shared" si="165"/>
        <v>35</v>
      </c>
      <c r="J394" t="s">
        <v>198</v>
      </c>
      <c r="K394">
        <v>24.5</v>
      </c>
      <c r="M394">
        <f t="shared" ref="M394" si="171">+K394*G394</f>
        <v>24.5</v>
      </c>
      <c r="N394">
        <f t="shared" ref="N394" si="172">+I394-M394</f>
        <v>10.5</v>
      </c>
    </row>
    <row r="395" spans="1:14" ht="15" customHeight="1" x14ac:dyDescent="0.25">
      <c r="A395">
        <v>394</v>
      </c>
      <c r="B395" s="1">
        <v>43858</v>
      </c>
      <c r="C395" t="s">
        <v>8</v>
      </c>
      <c r="D395" t="s">
        <v>15</v>
      </c>
      <c r="F395" t="s">
        <v>15</v>
      </c>
      <c r="G395">
        <f>2/10</f>
        <v>0.2</v>
      </c>
      <c r="H395">
        <v>290</v>
      </c>
      <c r="I395">
        <f t="shared" si="165"/>
        <v>58</v>
      </c>
      <c r="J395" t="s">
        <v>13</v>
      </c>
      <c r="K395">
        <v>271</v>
      </c>
      <c r="M395">
        <f>+K395*G395</f>
        <v>54.2</v>
      </c>
      <c r="N395">
        <f>+I395-M395</f>
        <v>3.7999999999999972</v>
      </c>
    </row>
    <row r="396" spans="1:14" ht="15" customHeight="1" x14ac:dyDescent="0.25">
      <c r="A396">
        <v>395</v>
      </c>
      <c r="B396" s="1">
        <v>43858</v>
      </c>
      <c r="C396" t="s">
        <v>8</v>
      </c>
      <c r="D396" t="s">
        <v>75</v>
      </c>
      <c r="F396" t="s">
        <v>154</v>
      </c>
      <c r="G396">
        <v>6</v>
      </c>
      <c r="H396">
        <v>45</v>
      </c>
      <c r="I396">
        <f t="shared" si="165"/>
        <v>270</v>
      </c>
      <c r="J396" t="s">
        <v>163</v>
      </c>
      <c r="K396">
        <v>23</v>
      </c>
      <c r="M396">
        <f t="shared" ref="M396:M398" si="173">+K396*G396</f>
        <v>138</v>
      </c>
      <c r="N396">
        <f t="shared" ref="N396:N398" si="174">+I396-M396</f>
        <v>132</v>
      </c>
    </row>
    <row r="397" spans="1:14" ht="15" customHeight="1" x14ac:dyDescent="0.25">
      <c r="A397">
        <v>396</v>
      </c>
      <c r="B397" s="1">
        <v>43858</v>
      </c>
      <c r="C397" t="s">
        <v>8</v>
      </c>
      <c r="D397" t="s">
        <v>15</v>
      </c>
      <c r="F397" t="s">
        <v>153</v>
      </c>
      <c r="G397">
        <v>1</v>
      </c>
      <c r="H397">
        <v>240</v>
      </c>
      <c r="I397">
        <f t="shared" si="165"/>
        <v>240</v>
      </c>
      <c r="J397" t="s">
        <v>163</v>
      </c>
      <c r="K397">
        <v>194</v>
      </c>
      <c r="M397">
        <f t="shared" si="173"/>
        <v>194</v>
      </c>
      <c r="N397">
        <f t="shared" si="174"/>
        <v>46</v>
      </c>
    </row>
    <row r="398" spans="1:14" ht="15" customHeight="1" x14ac:dyDescent="0.25">
      <c r="A398">
        <v>397</v>
      </c>
      <c r="B398" s="1">
        <v>43858</v>
      </c>
      <c r="C398" t="s">
        <v>8</v>
      </c>
      <c r="D398" t="s">
        <v>15</v>
      </c>
      <c r="F398" t="s">
        <v>153</v>
      </c>
      <c r="G398">
        <v>1</v>
      </c>
      <c r="H398">
        <v>240</v>
      </c>
      <c r="I398">
        <f t="shared" si="165"/>
        <v>240</v>
      </c>
      <c r="J398" t="s">
        <v>163</v>
      </c>
      <c r="K398">
        <v>194</v>
      </c>
      <c r="M398">
        <f t="shared" si="173"/>
        <v>194</v>
      </c>
      <c r="N398">
        <f t="shared" si="174"/>
        <v>46</v>
      </c>
    </row>
    <row r="399" spans="1:14" ht="15" customHeight="1" x14ac:dyDescent="0.25">
      <c r="A399">
        <v>398</v>
      </c>
      <c r="B399" s="1">
        <v>43858</v>
      </c>
      <c r="C399" t="s">
        <v>8</v>
      </c>
      <c r="D399" t="s">
        <v>55</v>
      </c>
      <c r="F399" t="s">
        <v>155</v>
      </c>
      <c r="G399">
        <v>1</v>
      </c>
      <c r="H399">
        <v>290</v>
      </c>
      <c r="I399">
        <f t="shared" si="165"/>
        <v>290</v>
      </c>
      <c r="J399" t="s">
        <v>13</v>
      </c>
      <c r="K399">
        <v>271</v>
      </c>
      <c r="M399">
        <f t="shared" ref="M399:M400" si="175">+K399*G399</f>
        <v>271</v>
      </c>
      <c r="N399">
        <f t="shared" ref="N399:N400" si="176">+I399-M399</f>
        <v>19</v>
      </c>
    </row>
    <row r="400" spans="1:14" ht="15" customHeight="1" x14ac:dyDescent="0.25">
      <c r="A400">
        <v>399</v>
      </c>
      <c r="B400" s="1">
        <v>43858</v>
      </c>
      <c r="C400" t="s">
        <v>8</v>
      </c>
      <c r="D400" t="s">
        <v>55</v>
      </c>
      <c r="F400" t="s">
        <v>22</v>
      </c>
      <c r="G400">
        <v>3.5</v>
      </c>
      <c r="H400">
        <v>290</v>
      </c>
      <c r="I400">
        <f t="shared" si="165"/>
        <v>1015</v>
      </c>
      <c r="J400" t="s">
        <v>13</v>
      </c>
      <c r="K400">
        <v>271</v>
      </c>
      <c r="M400">
        <f t="shared" si="175"/>
        <v>948.5</v>
      </c>
      <c r="N400">
        <f t="shared" si="176"/>
        <v>66.5</v>
      </c>
    </row>
    <row r="401" spans="1:14" ht="15" customHeight="1" x14ac:dyDescent="0.25">
      <c r="A401">
        <v>400</v>
      </c>
      <c r="B401" s="1">
        <v>43858</v>
      </c>
      <c r="C401" t="s">
        <v>8</v>
      </c>
      <c r="D401" t="s">
        <v>25</v>
      </c>
      <c r="F401" t="s">
        <v>156</v>
      </c>
      <c r="G401">
        <v>1</v>
      </c>
      <c r="H401">
        <v>60</v>
      </c>
      <c r="I401">
        <f t="shared" si="165"/>
        <v>60</v>
      </c>
      <c r="J401" t="s">
        <v>165</v>
      </c>
      <c r="K401">
        <f t="shared" ref="K401" si="177">380/12</f>
        <v>31.666666666666668</v>
      </c>
      <c r="M401">
        <f t="shared" ref="M401:M409" si="178">+K401*G401</f>
        <v>31.666666666666668</v>
      </c>
      <c r="N401">
        <f t="shared" ref="N401:N409" si="179">+I401-M401</f>
        <v>28.333333333333332</v>
      </c>
    </row>
    <row r="402" spans="1:14" ht="15" customHeight="1" x14ac:dyDescent="0.25">
      <c r="A402">
        <v>401</v>
      </c>
      <c r="B402" s="1">
        <v>43858</v>
      </c>
      <c r="C402" t="s">
        <v>8</v>
      </c>
      <c r="D402" t="s">
        <v>56</v>
      </c>
      <c r="F402" t="s">
        <v>38</v>
      </c>
      <c r="G402">
        <v>1</v>
      </c>
      <c r="H402">
        <v>110</v>
      </c>
      <c r="I402">
        <f t="shared" si="165"/>
        <v>110</v>
      </c>
      <c r="J402" t="s">
        <v>164</v>
      </c>
      <c r="K402">
        <v>70</v>
      </c>
      <c r="M402">
        <f t="shared" si="178"/>
        <v>70</v>
      </c>
      <c r="N402">
        <f t="shared" si="179"/>
        <v>40</v>
      </c>
    </row>
    <row r="403" spans="1:14" ht="15" customHeight="1" x14ac:dyDescent="0.25">
      <c r="A403">
        <v>402</v>
      </c>
      <c r="B403" s="1">
        <v>43858</v>
      </c>
      <c r="C403" t="s">
        <v>8</v>
      </c>
      <c r="D403" t="s">
        <v>44</v>
      </c>
      <c r="F403" t="s">
        <v>138</v>
      </c>
      <c r="G403">
        <v>1</v>
      </c>
      <c r="H403">
        <v>35</v>
      </c>
      <c r="I403">
        <f t="shared" si="165"/>
        <v>35</v>
      </c>
      <c r="J403" t="s">
        <v>198</v>
      </c>
      <c r="K403">
        <v>24.5</v>
      </c>
      <c r="M403">
        <f t="shared" si="178"/>
        <v>24.5</v>
      </c>
      <c r="N403">
        <f t="shared" si="179"/>
        <v>10.5</v>
      </c>
    </row>
    <row r="404" spans="1:14" ht="15" customHeight="1" x14ac:dyDescent="0.25">
      <c r="A404">
        <v>403</v>
      </c>
      <c r="B404" s="1">
        <v>43858</v>
      </c>
      <c r="C404" t="s">
        <v>8</v>
      </c>
      <c r="D404" t="s">
        <v>56</v>
      </c>
      <c r="F404" t="s">
        <v>267</v>
      </c>
      <c r="G404">
        <v>2</v>
      </c>
      <c r="H404">
        <v>170</v>
      </c>
      <c r="I404">
        <f t="shared" si="165"/>
        <v>340</v>
      </c>
      <c r="J404" t="s">
        <v>163</v>
      </c>
      <c r="K404">
        <v>130</v>
      </c>
      <c r="M404">
        <f t="shared" si="178"/>
        <v>260</v>
      </c>
      <c r="N404">
        <f t="shared" si="179"/>
        <v>80</v>
      </c>
    </row>
    <row r="405" spans="1:14" ht="15" customHeight="1" x14ac:dyDescent="0.25">
      <c r="A405">
        <v>404</v>
      </c>
      <c r="B405" s="1">
        <v>43858</v>
      </c>
      <c r="C405" t="s">
        <v>8</v>
      </c>
      <c r="D405" t="s">
        <v>25</v>
      </c>
      <c r="F405" t="s">
        <v>57</v>
      </c>
      <c r="G405">
        <v>1</v>
      </c>
      <c r="H405">
        <v>60</v>
      </c>
      <c r="I405">
        <f t="shared" si="165"/>
        <v>60</v>
      </c>
      <c r="J405" t="s">
        <v>165</v>
      </c>
      <c r="K405">
        <f t="shared" ref="K405" si="180">380/12</f>
        <v>31.666666666666668</v>
      </c>
      <c r="M405">
        <f t="shared" si="178"/>
        <v>31.666666666666668</v>
      </c>
      <c r="N405">
        <f t="shared" si="179"/>
        <v>28.333333333333332</v>
      </c>
    </row>
    <row r="406" spans="1:14" ht="15" customHeight="1" x14ac:dyDescent="0.25">
      <c r="A406">
        <v>405</v>
      </c>
      <c r="B406" s="1">
        <v>43858</v>
      </c>
      <c r="C406" t="s">
        <v>8</v>
      </c>
      <c r="D406" t="s">
        <v>24</v>
      </c>
      <c r="F406" t="s">
        <v>24</v>
      </c>
      <c r="G406">
        <v>2</v>
      </c>
      <c r="H406">
        <v>100</v>
      </c>
      <c r="I406">
        <f t="shared" si="165"/>
        <v>200</v>
      </c>
      <c r="J406" t="s">
        <v>186</v>
      </c>
      <c r="K406">
        <v>68.22</v>
      </c>
      <c r="M406">
        <f t="shared" si="178"/>
        <v>136.44</v>
      </c>
      <c r="N406">
        <f t="shared" si="179"/>
        <v>63.56</v>
      </c>
    </row>
    <row r="407" spans="1:14" ht="15" customHeight="1" x14ac:dyDescent="0.25">
      <c r="A407">
        <v>406</v>
      </c>
      <c r="B407" s="1">
        <v>43858</v>
      </c>
      <c r="C407" t="s">
        <v>8</v>
      </c>
      <c r="D407" t="s">
        <v>55</v>
      </c>
      <c r="F407" t="s">
        <v>22</v>
      </c>
      <c r="G407">
        <v>8</v>
      </c>
      <c r="H407">
        <v>290</v>
      </c>
      <c r="I407">
        <f t="shared" si="165"/>
        <v>2320</v>
      </c>
      <c r="J407" t="s">
        <v>13</v>
      </c>
      <c r="K407">
        <v>271</v>
      </c>
      <c r="M407">
        <f t="shared" si="178"/>
        <v>2168</v>
      </c>
      <c r="N407">
        <f t="shared" si="179"/>
        <v>152</v>
      </c>
    </row>
    <row r="408" spans="1:14" ht="15" customHeight="1" x14ac:dyDescent="0.25">
      <c r="A408">
        <v>407</v>
      </c>
      <c r="B408" s="1">
        <v>43858</v>
      </c>
      <c r="C408" t="s">
        <v>8</v>
      </c>
      <c r="D408" t="s">
        <v>15</v>
      </c>
      <c r="F408" t="s">
        <v>54</v>
      </c>
      <c r="G408">
        <v>5.32</v>
      </c>
      <c r="H408">
        <v>240</v>
      </c>
      <c r="I408">
        <f t="shared" si="165"/>
        <v>1276.8000000000002</v>
      </c>
      <c r="J408" t="s">
        <v>163</v>
      </c>
      <c r="K408">
        <v>212</v>
      </c>
      <c r="M408">
        <f t="shared" si="178"/>
        <v>1127.8400000000001</v>
      </c>
      <c r="N408">
        <f t="shared" si="179"/>
        <v>148.96000000000004</v>
      </c>
    </row>
    <row r="409" spans="1:14" ht="15" customHeight="1" x14ac:dyDescent="0.25">
      <c r="A409">
        <v>408</v>
      </c>
      <c r="B409" s="1">
        <v>43858</v>
      </c>
      <c r="C409" t="s">
        <v>8</v>
      </c>
      <c r="D409" t="s">
        <v>55</v>
      </c>
      <c r="F409" t="s">
        <v>97</v>
      </c>
      <c r="G409">
        <v>5</v>
      </c>
      <c r="H409">
        <v>280</v>
      </c>
      <c r="I409">
        <f t="shared" si="165"/>
        <v>1400</v>
      </c>
      <c r="J409" t="s">
        <v>13</v>
      </c>
      <c r="K409">
        <v>271</v>
      </c>
      <c r="M409">
        <f t="shared" si="178"/>
        <v>1355</v>
      </c>
      <c r="N409">
        <f t="shared" si="179"/>
        <v>45</v>
      </c>
    </row>
    <row r="410" spans="1:14" ht="15" customHeight="1" x14ac:dyDescent="0.25">
      <c r="A410">
        <v>409</v>
      </c>
      <c r="B410" s="1">
        <v>43858</v>
      </c>
      <c r="C410" t="s">
        <v>8</v>
      </c>
      <c r="D410" t="s">
        <v>56</v>
      </c>
      <c r="F410" t="s">
        <v>267</v>
      </c>
      <c r="G410">
        <v>1</v>
      </c>
      <c r="H410">
        <v>170</v>
      </c>
      <c r="I410">
        <f t="shared" si="165"/>
        <v>170</v>
      </c>
      <c r="J410" t="s">
        <v>163</v>
      </c>
      <c r="K410">
        <v>130</v>
      </c>
      <c r="M410">
        <f t="shared" ref="M410:M411" si="181">+K410*G410</f>
        <v>130</v>
      </c>
      <c r="N410">
        <f t="shared" ref="N410:N411" si="182">+I410-M410</f>
        <v>40</v>
      </c>
    </row>
    <row r="411" spans="1:14" ht="15" customHeight="1" x14ac:dyDescent="0.25">
      <c r="A411">
        <v>410</v>
      </c>
      <c r="B411" s="1">
        <v>43858</v>
      </c>
      <c r="C411" t="s">
        <v>8</v>
      </c>
      <c r="D411" t="s">
        <v>15</v>
      </c>
      <c r="F411" t="s">
        <v>63</v>
      </c>
      <c r="G411">
        <f>3/9</f>
        <v>0.33333333333333331</v>
      </c>
      <c r="H411">
        <v>240</v>
      </c>
      <c r="I411">
        <f t="shared" si="165"/>
        <v>80</v>
      </c>
      <c r="J411" t="s">
        <v>163</v>
      </c>
      <c r="K411">
        <v>204</v>
      </c>
      <c r="M411">
        <f t="shared" si="181"/>
        <v>68</v>
      </c>
      <c r="N411">
        <f t="shared" si="182"/>
        <v>12</v>
      </c>
    </row>
    <row r="412" spans="1:14" ht="15" customHeight="1" x14ac:dyDescent="0.25">
      <c r="A412">
        <v>411</v>
      </c>
      <c r="B412" s="1">
        <v>43858</v>
      </c>
      <c r="C412" t="s">
        <v>8</v>
      </c>
      <c r="D412" t="s">
        <v>15</v>
      </c>
      <c r="F412" t="s">
        <v>110</v>
      </c>
      <c r="G412">
        <f>4/9</f>
        <v>0.44444444444444442</v>
      </c>
      <c r="H412">
        <v>290</v>
      </c>
      <c r="I412">
        <f t="shared" si="165"/>
        <v>128.88888888888889</v>
      </c>
      <c r="J412" t="s">
        <v>13</v>
      </c>
      <c r="K412">
        <v>271</v>
      </c>
      <c r="M412">
        <f>+K412*G412</f>
        <v>120.44444444444444</v>
      </c>
      <c r="N412">
        <f>+I412-M412</f>
        <v>8.4444444444444429</v>
      </c>
    </row>
    <row r="413" spans="1:14" ht="15" customHeight="1" x14ac:dyDescent="0.25">
      <c r="A413">
        <v>412</v>
      </c>
      <c r="B413" s="1">
        <v>43858</v>
      </c>
      <c r="C413" t="s">
        <v>8</v>
      </c>
      <c r="D413" t="s">
        <v>44</v>
      </c>
      <c r="F413" t="s">
        <v>133</v>
      </c>
      <c r="G413">
        <v>1</v>
      </c>
      <c r="H413">
        <v>35</v>
      </c>
      <c r="I413">
        <f t="shared" si="165"/>
        <v>35</v>
      </c>
      <c r="J413" t="s">
        <v>166</v>
      </c>
      <c r="K413">
        <v>20</v>
      </c>
      <c r="M413">
        <f t="shared" ref="M413:M414" si="183">+K413*G413</f>
        <v>20</v>
      </c>
      <c r="N413">
        <f t="shared" ref="N413:N414" si="184">+I413-M413</f>
        <v>15</v>
      </c>
    </row>
    <row r="414" spans="1:14" ht="15" customHeight="1" x14ac:dyDescent="0.25">
      <c r="A414">
        <v>413</v>
      </c>
      <c r="B414" s="1">
        <v>43858</v>
      </c>
      <c r="C414" t="s">
        <v>8</v>
      </c>
      <c r="D414" t="s">
        <v>23</v>
      </c>
      <c r="F414" t="s">
        <v>43</v>
      </c>
      <c r="G414">
        <v>1</v>
      </c>
      <c r="H414">
        <v>300</v>
      </c>
      <c r="I414">
        <f t="shared" si="165"/>
        <v>300</v>
      </c>
      <c r="J414" t="s">
        <v>187</v>
      </c>
      <c r="K414">
        <v>130</v>
      </c>
      <c r="M414">
        <f t="shared" si="183"/>
        <v>130</v>
      </c>
      <c r="N414">
        <f t="shared" si="184"/>
        <v>170</v>
      </c>
    </row>
    <row r="415" spans="1:14" ht="15" customHeight="1" x14ac:dyDescent="0.25">
      <c r="A415">
        <v>414</v>
      </c>
      <c r="B415" s="1">
        <v>43858</v>
      </c>
      <c r="C415" t="s">
        <v>8</v>
      </c>
      <c r="D415" t="s">
        <v>15</v>
      </c>
      <c r="F415" t="s">
        <v>80</v>
      </c>
      <c r="G415">
        <v>80</v>
      </c>
      <c r="H415">
        <v>240</v>
      </c>
      <c r="I415">
        <f t="shared" si="165"/>
        <v>19200</v>
      </c>
      <c r="J415" t="s">
        <v>163</v>
      </c>
      <c r="K415">
        <v>212</v>
      </c>
      <c r="M415">
        <f t="shared" ref="M415:M418" si="185">+K415*G415</f>
        <v>16960</v>
      </c>
      <c r="N415">
        <f t="shared" ref="N415:N418" si="186">+I415-M415</f>
        <v>2240</v>
      </c>
    </row>
    <row r="416" spans="1:14" ht="15" customHeight="1" x14ac:dyDescent="0.25">
      <c r="A416">
        <v>415</v>
      </c>
      <c r="B416" s="1">
        <v>43858</v>
      </c>
      <c r="C416" t="s">
        <v>8</v>
      </c>
      <c r="D416" t="s">
        <v>15</v>
      </c>
      <c r="F416" t="s">
        <v>76</v>
      </c>
      <c r="G416">
        <v>30</v>
      </c>
      <c r="H416">
        <v>230</v>
      </c>
      <c r="I416">
        <f t="shared" si="165"/>
        <v>6900</v>
      </c>
      <c r="J416" t="s">
        <v>163</v>
      </c>
      <c r="K416">
        <v>176</v>
      </c>
      <c r="M416">
        <f t="shared" si="185"/>
        <v>5280</v>
      </c>
      <c r="N416">
        <f t="shared" si="186"/>
        <v>1620</v>
      </c>
    </row>
    <row r="417" spans="1:14" ht="15" customHeight="1" x14ac:dyDescent="0.25">
      <c r="A417">
        <v>416</v>
      </c>
      <c r="B417" s="1">
        <v>43858</v>
      </c>
      <c r="C417" t="s">
        <v>8</v>
      </c>
      <c r="D417" t="s">
        <v>85</v>
      </c>
      <c r="F417" t="s">
        <v>157</v>
      </c>
      <c r="G417">
        <v>1</v>
      </c>
      <c r="H417">
        <v>1900</v>
      </c>
      <c r="I417">
        <f t="shared" si="165"/>
        <v>1900</v>
      </c>
      <c r="J417" t="s">
        <v>163</v>
      </c>
      <c r="K417">
        <v>1700</v>
      </c>
      <c r="M417">
        <f t="shared" si="185"/>
        <v>1700</v>
      </c>
      <c r="N417">
        <f t="shared" si="186"/>
        <v>200</v>
      </c>
    </row>
    <row r="418" spans="1:14" ht="15" customHeight="1" x14ac:dyDescent="0.25">
      <c r="A418">
        <v>417</v>
      </c>
      <c r="B418" s="1">
        <v>43858</v>
      </c>
      <c r="C418" t="s">
        <v>8</v>
      </c>
      <c r="D418" t="s">
        <v>70</v>
      </c>
      <c r="F418" t="s">
        <v>158</v>
      </c>
      <c r="G418">
        <v>1</v>
      </c>
      <c r="H418">
        <v>1900</v>
      </c>
      <c r="I418">
        <f t="shared" si="165"/>
        <v>1900</v>
      </c>
      <c r="J418" t="s">
        <v>163</v>
      </c>
      <c r="K418">
        <v>1700</v>
      </c>
      <c r="M418">
        <f t="shared" si="185"/>
        <v>1700</v>
      </c>
      <c r="N418">
        <f t="shared" si="186"/>
        <v>200</v>
      </c>
    </row>
    <row r="419" spans="1:14" ht="15" customHeight="1" x14ac:dyDescent="0.25">
      <c r="A419">
        <v>418</v>
      </c>
      <c r="B419" s="1">
        <v>43858</v>
      </c>
      <c r="C419" t="s">
        <v>8</v>
      </c>
      <c r="D419" t="s">
        <v>78</v>
      </c>
      <c r="F419" t="s">
        <v>79</v>
      </c>
      <c r="G419">
        <v>1</v>
      </c>
      <c r="H419">
        <v>1500</v>
      </c>
      <c r="I419">
        <f t="shared" si="165"/>
        <v>1500</v>
      </c>
      <c r="J419" t="s">
        <v>167</v>
      </c>
      <c r="K419">
        <v>1330</v>
      </c>
      <c r="M419">
        <f>+K419*G419</f>
        <v>1330</v>
      </c>
      <c r="N419">
        <f>+I419-M343:M419</f>
        <v>170</v>
      </c>
    </row>
    <row r="420" spans="1:14" ht="15" customHeight="1" x14ac:dyDescent="0.25">
      <c r="A420">
        <v>419</v>
      </c>
      <c r="B420" s="1">
        <v>43858</v>
      </c>
      <c r="C420" t="s">
        <v>8</v>
      </c>
      <c r="D420" t="s">
        <v>85</v>
      </c>
      <c r="F420" t="s">
        <v>159</v>
      </c>
      <c r="G420">
        <v>1</v>
      </c>
      <c r="H420">
        <v>260</v>
      </c>
      <c r="I420">
        <f t="shared" si="165"/>
        <v>260</v>
      </c>
      <c r="J420" t="s">
        <v>166</v>
      </c>
      <c r="K420">
        <v>170</v>
      </c>
      <c r="M420">
        <f t="shared" ref="M420" si="187">+K420*G420</f>
        <v>170</v>
      </c>
      <c r="N420">
        <f>+I420-M420</f>
        <v>90</v>
      </c>
    </row>
    <row r="421" spans="1:14" ht="15" customHeight="1" x14ac:dyDescent="0.25">
      <c r="A421">
        <v>420</v>
      </c>
      <c r="B421" s="1">
        <v>43859</v>
      </c>
      <c r="C421" t="s">
        <v>8</v>
      </c>
      <c r="D421" t="s">
        <v>15</v>
      </c>
      <c r="F421" t="s">
        <v>28</v>
      </c>
      <c r="G421">
        <v>13</v>
      </c>
      <c r="H421">
        <v>230</v>
      </c>
      <c r="I421">
        <f t="shared" si="165"/>
        <v>2990</v>
      </c>
      <c r="J421" t="s">
        <v>163</v>
      </c>
      <c r="K421">
        <v>182</v>
      </c>
      <c r="M421">
        <f>+K421*G421</f>
        <v>2366</v>
      </c>
      <c r="N421">
        <f>+I421-M421</f>
        <v>624</v>
      </c>
    </row>
    <row r="422" spans="1:14" ht="15" customHeight="1" x14ac:dyDescent="0.25">
      <c r="A422">
        <v>421</v>
      </c>
      <c r="B422" s="1">
        <v>43859</v>
      </c>
      <c r="C422" t="s">
        <v>8</v>
      </c>
      <c r="D422" t="s">
        <v>44</v>
      </c>
      <c r="F422" t="s">
        <v>133</v>
      </c>
      <c r="G422">
        <v>1</v>
      </c>
      <c r="H422">
        <v>35</v>
      </c>
      <c r="I422">
        <f t="shared" si="165"/>
        <v>35</v>
      </c>
      <c r="J422" t="s">
        <v>166</v>
      </c>
      <c r="K422">
        <v>20</v>
      </c>
      <c r="M422">
        <f t="shared" ref="M422" si="188">+K422*G422</f>
        <v>20</v>
      </c>
      <c r="N422">
        <f t="shared" ref="N422" si="189">+I422-M422</f>
        <v>15</v>
      </c>
    </row>
    <row r="423" spans="1:14" ht="15" customHeight="1" x14ac:dyDescent="0.25">
      <c r="A423">
        <v>422</v>
      </c>
      <c r="B423" s="1">
        <v>43859</v>
      </c>
      <c r="C423" t="s">
        <v>8</v>
      </c>
      <c r="D423" t="s">
        <v>55</v>
      </c>
      <c r="F423" t="s">
        <v>89</v>
      </c>
      <c r="G423">
        <f>9/17</f>
        <v>0.52941176470588236</v>
      </c>
      <c r="H423">
        <v>290</v>
      </c>
      <c r="I423">
        <f t="shared" si="165"/>
        <v>153.52941176470588</v>
      </c>
      <c r="J423" t="s">
        <v>13</v>
      </c>
      <c r="K423">
        <v>271</v>
      </c>
      <c r="M423">
        <f>+K423*G423</f>
        <v>143.47058823529412</v>
      </c>
      <c r="N423">
        <f>+I423-M423</f>
        <v>10.058823529411768</v>
      </c>
    </row>
    <row r="424" spans="1:14" ht="15" customHeight="1" x14ac:dyDescent="0.25">
      <c r="A424">
        <v>423</v>
      </c>
      <c r="B424" s="1">
        <v>43859</v>
      </c>
      <c r="C424" t="s">
        <v>8</v>
      </c>
      <c r="D424" t="s">
        <v>25</v>
      </c>
      <c r="F424" t="s">
        <v>128</v>
      </c>
      <c r="G424">
        <v>1</v>
      </c>
      <c r="H424">
        <v>60</v>
      </c>
      <c r="I424">
        <f t="shared" si="165"/>
        <v>60</v>
      </c>
      <c r="J424" t="s">
        <v>165</v>
      </c>
      <c r="K424">
        <f t="shared" ref="K424" si="190">380/12</f>
        <v>31.666666666666668</v>
      </c>
      <c r="M424">
        <f>+K424*G424</f>
        <v>31.666666666666668</v>
      </c>
      <c r="N424">
        <f>+I424-M424</f>
        <v>28.333333333333332</v>
      </c>
    </row>
    <row r="425" spans="1:14" ht="15" customHeight="1" x14ac:dyDescent="0.25">
      <c r="A425">
        <v>424</v>
      </c>
      <c r="B425" s="1">
        <v>43859</v>
      </c>
      <c r="C425" t="s">
        <v>8</v>
      </c>
      <c r="D425" t="s">
        <v>15</v>
      </c>
      <c r="F425" t="s">
        <v>21</v>
      </c>
      <c r="G425">
        <f>3/9</f>
        <v>0.33333333333333331</v>
      </c>
      <c r="H425">
        <v>290</v>
      </c>
      <c r="I425">
        <f t="shared" si="165"/>
        <v>96.666666666666657</v>
      </c>
      <c r="J425" t="s">
        <v>13</v>
      </c>
      <c r="K425">
        <v>271</v>
      </c>
      <c r="M425">
        <f t="shared" ref="M425:M426" si="191">+K425*G425</f>
        <v>90.333333333333329</v>
      </c>
      <c r="N425">
        <f t="shared" ref="N425:N426" si="192">+I425-M425</f>
        <v>6.3333333333333286</v>
      </c>
    </row>
    <row r="426" spans="1:14" ht="15" customHeight="1" x14ac:dyDescent="0.25">
      <c r="A426">
        <v>425</v>
      </c>
      <c r="B426" s="1">
        <v>43859</v>
      </c>
      <c r="C426" t="s">
        <v>8</v>
      </c>
      <c r="D426" t="s">
        <v>55</v>
      </c>
      <c r="F426" t="s">
        <v>149</v>
      </c>
      <c r="G426">
        <v>1</v>
      </c>
      <c r="H426">
        <v>290</v>
      </c>
      <c r="I426">
        <f t="shared" si="165"/>
        <v>290</v>
      </c>
      <c r="J426" t="s">
        <v>13</v>
      </c>
      <c r="K426">
        <v>271</v>
      </c>
      <c r="M426">
        <f t="shared" si="191"/>
        <v>271</v>
      </c>
      <c r="N426">
        <f t="shared" si="192"/>
        <v>19</v>
      </c>
    </row>
    <row r="427" spans="1:14" ht="15" customHeight="1" x14ac:dyDescent="0.25">
      <c r="A427">
        <v>426</v>
      </c>
      <c r="B427" s="1">
        <v>43859</v>
      </c>
      <c r="C427" t="s">
        <v>8</v>
      </c>
      <c r="D427" t="s">
        <v>25</v>
      </c>
      <c r="F427" t="s">
        <v>61</v>
      </c>
      <c r="G427">
        <v>1</v>
      </c>
      <c r="H427">
        <v>60</v>
      </c>
      <c r="I427">
        <f t="shared" si="165"/>
        <v>60</v>
      </c>
      <c r="J427" t="s">
        <v>165</v>
      </c>
      <c r="K427">
        <f t="shared" ref="K427" si="193">380/12</f>
        <v>31.666666666666668</v>
      </c>
      <c r="M427">
        <f>+K427*G427</f>
        <v>31.666666666666668</v>
      </c>
      <c r="N427">
        <f>+I427-M427</f>
        <v>28.333333333333332</v>
      </c>
    </row>
    <row r="428" spans="1:14" ht="15" customHeight="1" x14ac:dyDescent="0.25">
      <c r="A428">
        <v>427</v>
      </c>
      <c r="B428" s="1">
        <v>43859</v>
      </c>
      <c r="C428" t="s">
        <v>8</v>
      </c>
      <c r="D428" t="s">
        <v>15</v>
      </c>
      <c r="F428" t="s">
        <v>20</v>
      </c>
      <c r="G428">
        <v>4</v>
      </c>
      <c r="H428">
        <v>240</v>
      </c>
      <c r="I428">
        <f t="shared" si="165"/>
        <v>960</v>
      </c>
      <c r="J428" t="s">
        <v>163</v>
      </c>
      <c r="K428">
        <v>216</v>
      </c>
      <c r="M428">
        <f>+K428*G428</f>
        <v>864</v>
      </c>
      <c r="N428">
        <f>+I428-M428</f>
        <v>96</v>
      </c>
    </row>
    <row r="429" spans="1:14" ht="15" customHeight="1" x14ac:dyDescent="0.25">
      <c r="A429">
        <v>428</v>
      </c>
      <c r="B429" s="1">
        <v>43859</v>
      </c>
      <c r="C429" t="s">
        <v>8</v>
      </c>
      <c r="D429" t="s">
        <v>25</v>
      </c>
      <c r="F429" t="s">
        <v>57</v>
      </c>
      <c r="G429">
        <v>1</v>
      </c>
      <c r="H429">
        <v>60</v>
      </c>
      <c r="I429">
        <f t="shared" si="165"/>
        <v>60</v>
      </c>
      <c r="J429" t="s">
        <v>165</v>
      </c>
      <c r="K429">
        <f t="shared" ref="K429" si="194">380/12</f>
        <v>31.666666666666668</v>
      </c>
      <c r="M429">
        <f>+K429*G429</f>
        <v>31.666666666666668</v>
      </c>
      <c r="N429">
        <f>+I429-M429</f>
        <v>28.333333333333332</v>
      </c>
    </row>
    <row r="430" spans="1:14" ht="15" customHeight="1" x14ac:dyDescent="0.25">
      <c r="A430">
        <v>429</v>
      </c>
      <c r="B430" s="1">
        <v>43859</v>
      </c>
      <c r="C430" t="s">
        <v>8</v>
      </c>
      <c r="D430" t="s">
        <v>15</v>
      </c>
      <c r="F430" t="s">
        <v>32</v>
      </c>
      <c r="G430">
        <v>2.5</v>
      </c>
      <c r="H430">
        <v>280</v>
      </c>
      <c r="I430">
        <f t="shared" si="165"/>
        <v>700</v>
      </c>
      <c r="J430" t="s">
        <v>163</v>
      </c>
      <c r="K430">
        <v>214</v>
      </c>
      <c r="M430">
        <f>+K430*G430</f>
        <v>535</v>
      </c>
      <c r="N430">
        <f>+I430-M430</f>
        <v>165</v>
      </c>
    </row>
    <row r="431" spans="1:14" ht="15" customHeight="1" x14ac:dyDescent="0.25">
      <c r="A431">
        <v>430</v>
      </c>
      <c r="B431" s="1">
        <v>43860</v>
      </c>
      <c r="C431" t="s">
        <v>8</v>
      </c>
      <c r="D431" t="s">
        <v>55</v>
      </c>
      <c r="F431" t="s">
        <v>22</v>
      </c>
      <c r="G431">
        <v>2</v>
      </c>
      <c r="H431">
        <v>290</v>
      </c>
      <c r="I431">
        <f t="shared" si="165"/>
        <v>580</v>
      </c>
      <c r="J431" t="s">
        <v>13</v>
      </c>
      <c r="K431">
        <v>271</v>
      </c>
      <c r="M431">
        <f>+K431*G431</f>
        <v>542</v>
      </c>
      <c r="N431">
        <f>+I431-M431</f>
        <v>38</v>
      </c>
    </row>
    <row r="432" spans="1:14" ht="15" customHeight="1" x14ac:dyDescent="0.25">
      <c r="A432">
        <v>431</v>
      </c>
      <c r="B432" s="1">
        <v>43860</v>
      </c>
      <c r="C432" t="s">
        <v>8</v>
      </c>
      <c r="D432" t="s">
        <v>25</v>
      </c>
      <c r="F432" t="s">
        <v>57</v>
      </c>
      <c r="G432">
        <v>1</v>
      </c>
      <c r="H432">
        <v>60</v>
      </c>
      <c r="I432">
        <f t="shared" si="165"/>
        <v>60</v>
      </c>
      <c r="J432" t="s">
        <v>165</v>
      </c>
      <c r="K432">
        <f t="shared" ref="K432:K433" si="195">380/12</f>
        <v>31.666666666666668</v>
      </c>
      <c r="M432">
        <f t="shared" ref="M432:M435" si="196">+K432*G432</f>
        <v>31.666666666666668</v>
      </c>
      <c r="N432">
        <f t="shared" ref="N432:N435" si="197">+I432-M432</f>
        <v>28.333333333333332</v>
      </c>
    </row>
    <row r="433" spans="1:14" ht="15" customHeight="1" x14ac:dyDescent="0.25">
      <c r="A433">
        <v>432</v>
      </c>
      <c r="B433" s="1">
        <v>43860</v>
      </c>
      <c r="C433" t="s">
        <v>8</v>
      </c>
      <c r="D433" t="s">
        <v>25</v>
      </c>
      <c r="F433" t="s">
        <v>156</v>
      </c>
      <c r="G433">
        <v>1</v>
      </c>
      <c r="H433">
        <v>60</v>
      </c>
      <c r="I433">
        <f t="shared" si="165"/>
        <v>60</v>
      </c>
      <c r="J433" t="s">
        <v>165</v>
      </c>
      <c r="K433">
        <f t="shared" si="195"/>
        <v>31.666666666666668</v>
      </c>
      <c r="M433">
        <f t="shared" si="196"/>
        <v>31.666666666666668</v>
      </c>
      <c r="N433">
        <f t="shared" si="197"/>
        <v>28.333333333333332</v>
      </c>
    </row>
    <row r="434" spans="1:14" ht="15" customHeight="1" x14ac:dyDescent="0.25">
      <c r="A434">
        <v>433</v>
      </c>
      <c r="B434" s="1">
        <v>43860</v>
      </c>
      <c r="C434" t="s">
        <v>8</v>
      </c>
      <c r="D434" t="s">
        <v>85</v>
      </c>
      <c r="F434" t="s">
        <v>160</v>
      </c>
      <c r="G434">
        <v>1</v>
      </c>
      <c r="H434">
        <v>2000</v>
      </c>
      <c r="I434">
        <f t="shared" si="165"/>
        <v>2000</v>
      </c>
      <c r="J434" t="s">
        <v>163</v>
      </c>
      <c r="K434">
        <v>1171</v>
      </c>
      <c r="M434">
        <f t="shared" si="196"/>
        <v>1171</v>
      </c>
      <c r="N434">
        <f t="shared" si="197"/>
        <v>829</v>
      </c>
    </row>
    <row r="435" spans="1:14" ht="15" customHeight="1" x14ac:dyDescent="0.25">
      <c r="A435">
        <v>434</v>
      </c>
      <c r="B435" s="1">
        <v>43860</v>
      </c>
      <c r="C435" t="s">
        <v>8</v>
      </c>
      <c r="D435" t="s">
        <v>15</v>
      </c>
      <c r="F435" t="s">
        <v>20</v>
      </c>
      <c r="G435">
        <v>2.8</v>
      </c>
      <c r="H435">
        <v>240</v>
      </c>
      <c r="I435">
        <f t="shared" si="165"/>
        <v>672</v>
      </c>
      <c r="J435" t="s">
        <v>163</v>
      </c>
      <c r="K435">
        <v>216</v>
      </c>
      <c r="M435">
        <f t="shared" si="196"/>
        <v>604.79999999999995</v>
      </c>
      <c r="N435">
        <f t="shared" si="197"/>
        <v>67.200000000000045</v>
      </c>
    </row>
    <row r="436" spans="1:14" ht="15" customHeight="1" x14ac:dyDescent="0.25">
      <c r="A436">
        <v>435</v>
      </c>
      <c r="B436" s="1">
        <v>43860</v>
      </c>
      <c r="C436" t="s">
        <v>8</v>
      </c>
      <c r="D436" t="s">
        <v>25</v>
      </c>
      <c r="F436" t="s">
        <v>71</v>
      </c>
      <c r="G436">
        <v>1</v>
      </c>
      <c r="H436">
        <v>60</v>
      </c>
      <c r="I436">
        <f t="shared" si="165"/>
        <v>60</v>
      </c>
      <c r="J436" t="s">
        <v>165</v>
      </c>
      <c r="K436">
        <f t="shared" ref="K436" si="198">380/12</f>
        <v>31.666666666666668</v>
      </c>
      <c r="M436">
        <f>+K436*G436</f>
        <v>31.666666666666668</v>
      </c>
      <c r="N436">
        <f>+I436-M436</f>
        <v>28.333333333333332</v>
      </c>
    </row>
    <row r="437" spans="1:14" ht="15" customHeight="1" x14ac:dyDescent="0.25">
      <c r="A437">
        <v>436</v>
      </c>
      <c r="B437" s="1">
        <v>43860</v>
      </c>
      <c r="C437" t="s">
        <v>8</v>
      </c>
      <c r="D437" t="s">
        <v>15</v>
      </c>
      <c r="F437" t="s">
        <v>17</v>
      </c>
      <c r="G437">
        <v>1.016</v>
      </c>
      <c r="H437">
        <v>360</v>
      </c>
      <c r="I437">
        <f t="shared" si="165"/>
        <v>365.76</v>
      </c>
      <c r="J437" t="s">
        <v>13</v>
      </c>
      <c r="K437">
        <v>326</v>
      </c>
      <c r="M437">
        <f t="shared" ref="M437:M440" si="199">+K437*G437</f>
        <v>331.21600000000001</v>
      </c>
      <c r="N437">
        <f t="shared" ref="N437:N440" si="200">+I437-M437</f>
        <v>34.543999999999983</v>
      </c>
    </row>
    <row r="438" spans="1:14" ht="15" customHeight="1" x14ac:dyDescent="0.25">
      <c r="A438">
        <v>437</v>
      </c>
      <c r="B438" s="1">
        <v>43861</v>
      </c>
      <c r="C438" t="s">
        <v>8</v>
      </c>
      <c r="D438" t="s">
        <v>15</v>
      </c>
      <c r="F438" t="s">
        <v>17</v>
      </c>
      <c r="G438">
        <v>1.427</v>
      </c>
      <c r="H438">
        <v>360</v>
      </c>
      <c r="I438">
        <f t="shared" si="165"/>
        <v>513.72</v>
      </c>
      <c r="J438" t="s">
        <v>13</v>
      </c>
      <c r="K438">
        <v>326</v>
      </c>
      <c r="M438">
        <f t="shared" si="199"/>
        <v>465.202</v>
      </c>
      <c r="N438">
        <f t="shared" si="200"/>
        <v>48.518000000000029</v>
      </c>
    </row>
    <row r="439" spans="1:14" ht="15" customHeight="1" x14ac:dyDescent="0.25">
      <c r="A439">
        <v>438</v>
      </c>
      <c r="B439" s="1">
        <v>43861</v>
      </c>
      <c r="C439" t="s">
        <v>8</v>
      </c>
      <c r="D439" t="s">
        <v>56</v>
      </c>
      <c r="F439" t="s">
        <v>267</v>
      </c>
      <c r="G439">
        <v>2</v>
      </c>
      <c r="H439">
        <v>160</v>
      </c>
      <c r="I439">
        <f t="shared" si="165"/>
        <v>320</v>
      </c>
      <c r="J439" t="s">
        <v>163</v>
      </c>
      <c r="K439">
        <v>130</v>
      </c>
      <c r="M439">
        <f t="shared" si="199"/>
        <v>260</v>
      </c>
      <c r="N439">
        <f t="shared" si="200"/>
        <v>60</v>
      </c>
    </row>
    <row r="440" spans="1:14" ht="15" customHeight="1" x14ac:dyDescent="0.25">
      <c r="A440">
        <v>439</v>
      </c>
      <c r="B440" s="1">
        <v>43861</v>
      </c>
      <c r="C440" t="s">
        <v>8</v>
      </c>
      <c r="D440" t="s">
        <v>15</v>
      </c>
      <c r="F440" t="s">
        <v>20</v>
      </c>
      <c r="G440">
        <f>3/5.15</f>
        <v>0.58252427184466016</v>
      </c>
      <c r="H440">
        <v>240</v>
      </c>
      <c r="I440">
        <f t="shared" si="165"/>
        <v>139.80582524271844</v>
      </c>
      <c r="J440" t="s">
        <v>163</v>
      </c>
      <c r="K440">
        <v>216</v>
      </c>
      <c r="M440">
        <f t="shared" si="199"/>
        <v>125.82524271844659</v>
      </c>
      <c r="N440">
        <f t="shared" si="200"/>
        <v>13.980582524271853</v>
      </c>
    </row>
    <row r="441" spans="1:14" ht="15" customHeight="1" x14ac:dyDescent="0.25">
      <c r="A441">
        <v>440</v>
      </c>
      <c r="B441" s="1">
        <v>43861</v>
      </c>
      <c r="C441" t="s">
        <v>8</v>
      </c>
      <c r="D441" t="s">
        <v>24</v>
      </c>
      <c r="F441" t="s">
        <v>24</v>
      </c>
      <c r="G441">
        <v>1</v>
      </c>
      <c r="H441">
        <v>100</v>
      </c>
      <c r="I441">
        <f t="shared" si="165"/>
        <v>100</v>
      </c>
      <c r="J441" t="s">
        <v>186</v>
      </c>
      <c r="K441">
        <v>68.22</v>
      </c>
      <c r="M441">
        <f>+K441*G441</f>
        <v>68.22</v>
      </c>
      <c r="N441">
        <f>+I441-M441</f>
        <v>31.78</v>
      </c>
    </row>
    <row r="442" spans="1:14" ht="15" customHeight="1" x14ac:dyDescent="0.25">
      <c r="A442">
        <v>441</v>
      </c>
      <c r="B442" s="1">
        <v>43861</v>
      </c>
      <c r="C442" t="s">
        <v>8</v>
      </c>
      <c r="D442" t="s">
        <v>25</v>
      </c>
      <c r="F442" t="s">
        <v>147</v>
      </c>
      <c r="G442">
        <v>1</v>
      </c>
      <c r="H442">
        <v>60</v>
      </c>
      <c r="I442">
        <f t="shared" si="165"/>
        <v>60</v>
      </c>
      <c r="J442" t="s">
        <v>165</v>
      </c>
      <c r="K442">
        <f t="shared" ref="K442" si="201">380/12</f>
        <v>31.666666666666668</v>
      </c>
      <c r="M442">
        <f>+K442*G442</f>
        <v>31.666666666666668</v>
      </c>
      <c r="N442">
        <f>+I442-M442</f>
        <v>28.333333333333332</v>
      </c>
    </row>
    <row r="443" spans="1:14" ht="15" customHeight="1" x14ac:dyDescent="0.25">
      <c r="A443">
        <v>442</v>
      </c>
      <c r="B443" s="1">
        <v>43861</v>
      </c>
      <c r="C443" t="s">
        <v>8</v>
      </c>
      <c r="D443" t="s">
        <v>26</v>
      </c>
      <c r="F443" t="s">
        <v>47</v>
      </c>
      <c r="G443">
        <v>17</v>
      </c>
      <c r="H443">
        <v>370</v>
      </c>
      <c r="I443">
        <f t="shared" si="165"/>
        <v>6290</v>
      </c>
      <c r="J443" t="s">
        <v>99</v>
      </c>
      <c r="K443">
        <v>330</v>
      </c>
      <c r="M443">
        <f>+K443*G443</f>
        <v>5610</v>
      </c>
      <c r="N443">
        <f>+I443-M443</f>
        <v>680</v>
      </c>
    </row>
    <row r="444" spans="1:14" ht="15" customHeight="1" x14ac:dyDescent="0.25">
      <c r="A444">
        <v>443</v>
      </c>
      <c r="B444" s="1">
        <v>43861</v>
      </c>
      <c r="C444" t="s">
        <v>8</v>
      </c>
      <c r="D444" t="s">
        <v>55</v>
      </c>
      <c r="F444" t="s">
        <v>22</v>
      </c>
      <c r="G444">
        <v>1.5</v>
      </c>
      <c r="H444">
        <v>290</v>
      </c>
      <c r="I444">
        <f t="shared" si="165"/>
        <v>435</v>
      </c>
      <c r="J444" t="s">
        <v>13</v>
      </c>
      <c r="K444">
        <v>271</v>
      </c>
      <c r="M444">
        <f>+K444*G444</f>
        <v>406.5</v>
      </c>
      <c r="N444">
        <f>+I444-M444</f>
        <v>28.5</v>
      </c>
    </row>
    <row r="445" spans="1:14" ht="15" customHeight="1" x14ac:dyDescent="0.25">
      <c r="A445">
        <v>444</v>
      </c>
      <c r="B445" s="1">
        <v>43861</v>
      </c>
      <c r="C445" t="s">
        <v>8</v>
      </c>
      <c r="D445" t="s">
        <v>23</v>
      </c>
      <c r="F445" t="s">
        <v>43</v>
      </c>
      <c r="G445">
        <v>1</v>
      </c>
      <c r="H445">
        <v>60</v>
      </c>
      <c r="I445">
        <f t="shared" si="165"/>
        <v>60</v>
      </c>
      <c r="J445" t="s">
        <v>187</v>
      </c>
      <c r="K445">
        <v>42</v>
      </c>
      <c r="M445">
        <f>+K445*G445</f>
        <v>42</v>
      </c>
      <c r="N445">
        <f>+I445-M445</f>
        <v>18</v>
      </c>
    </row>
    <row r="446" spans="1:14" ht="15" customHeight="1" x14ac:dyDescent="0.25">
      <c r="A446">
        <v>445</v>
      </c>
      <c r="B446" s="1">
        <v>43861</v>
      </c>
      <c r="C446" t="s">
        <v>8</v>
      </c>
      <c r="D446" t="s">
        <v>15</v>
      </c>
      <c r="F446" t="s">
        <v>153</v>
      </c>
      <c r="G446">
        <v>10</v>
      </c>
      <c r="H446">
        <v>240</v>
      </c>
      <c r="I446">
        <f t="shared" si="165"/>
        <v>2400</v>
      </c>
      <c r="J446" t="s">
        <v>163</v>
      </c>
      <c r="K446">
        <v>194</v>
      </c>
      <c r="M446">
        <f t="shared" ref="M446:M448" si="202">+K446*G446</f>
        <v>1940</v>
      </c>
      <c r="N446">
        <f t="shared" ref="N446:N448" si="203">+I446-M446</f>
        <v>460</v>
      </c>
    </row>
    <row r="447" spans="1:14" ht="15" customHeight="1" x14ac:dyDescent="0.25">
      <c r="A447">
        <v>446</v>
      </c>
      <c r="B447" s="1">
        <v>43861</v>
      </c>
      <c r="C447" t="s">
        <v>8</v>
      </c>
      <c r="D447" t="s">
        <v>75</v>
      </c>
      <c r="F447" t="s">
        <v>154</v>
      </c>
      <c r="G447">
        <v>10</v>
      </c>
      <c r="H447">
        <v>45</v>
      </c>
      <c r="I447">
        <f t="shared" si="165"/>
        <v>450</v>
      </c>
      <c r="J447" t="s">
        <v>163</v>
      </c>
      <c r="K447">
        <v>23</v>
      </c>
      <c r="M447">
        <f t="shared" si="202"/>
        <v>230</v>
      </c>
      <c r="N447">
        <f t="shared" si="203"/>
        <v>220</v>
      </c>
    </row>
    <row r="448" spans="1:14" ht="15" customHeight="1" x14ac:dyDescent="0.25">
      <c r="A448">
        <v>447</v>
      </c>
      <c r="B448" s="1">
        <v>43861</v>
      </c>
      <c r="C448" t="s">
        <v>8</v>
      </c>
      <c r="D448" t="s">
        <v>56</v>
      </c>
      <c r="F448" t="s">
        <v>267</v>
      </c>
      <c r="G448">
        <v>1</v>
      </c>
      <c r="H448">
        <v>170</v>
      </c>
      <c r="I448">
        <f t="shared" si="165"/>
        <v>170</v>
      </c>
      <c r="J448" t="s">
        <v>163</v>
      </c>
      <c r="K448">
        <v>130</v>
      </c>
      <c r="M448">
        <f t="shared" si="202"/>
        <v>130</v>
      </c>
      <c r="N448">
        <f t="shared" si="203"/>
        <v>40</v>
      </c>
    </row>
    <row r="449" spans="1:14" ht="15" customHeight="1" x14ac:dyDescent="0.25">
      <c r="A449">
        <v>448</v>
      </c>
      <c r="B449" s="1">
        <v>43861</v>
      </c>
      <c r="C449" t="s">
        <v>8</v>
      </c>
      <c r="D449" t="s">
        <v>78</v>
      </c>
      <c r="F449" t="s">
        <v>79</v>
      </c>
      <c r="G449">
        <v>1</v>
      </c>
      <c r="H449">
        <v>1550</v>
      </c>
      <c r="I449">
        <f t="shared" si="165"/>
        <v>1550</v>
      </c>
      <c r="J449" t="s">
        <v>167</v>
      </c>
      <c r="K449">
        <v>1330</v>
      </c>
      <c r="M449">
        <f>+K449*G449</f>
        <v>1330</v>
      </c>
      <c r="N449">
        <f>+I449-M373:M449</f>
        <v>220</v>
      </c>
    </row>
    <row r="450" spans="1:14" ht="15" customHeight="1" x14ac:dyDescent="0.25">
      <c r="A450">
        <v>1</v>
      </c>
      <c r="B450" s="1">
        <v>43862</v>
      </c>
      <c r="C450" t="s">
        <v>161</v>
      </c>
      <c r="D450" t="s">
        <v>55</v>
      </c>
      <c r="F450" t="s">
        <v>155</v>
      </c>
      <c r="G450">
        <v>13</v>
      </c>
      <c r="H450">
        <v>290</v>
      </c>
      <c r="I450">
        <f t="shared" si="165"/>
        <v>3770</v>
      </c>
      <c r="J450" t="s">
        <v>13</v>
      </c>
      <c r="K450">
        <v>271</v>
      </c>
      <c r="M450">
        <f>+K450*G450</f>
        <v>3523</v>
      </c>
      <c r="N450">
        <f>+I450-M450</f>
        <v>247</v>
      </c>
    </row>
    <row r="451" spans="1:14" ht="15" customHeight="1" x14ac:dyDescent="0.25">
      <c r="A451">
        <v>2</v>
      </c>
      <c r="B451" s="1">
        <v>43862</v>
      </c>
      <c r="C451" t="s">
        <v>161</v>
      </c>
      <c r="D451" t="s">
        <v>56</v>
      </c>
      <c r="F451" t="s">
        <v>267</v>
      </c>
      <c r="G451">
        <v>5</v>
      </c>
      <c r="H451">
        <v>170</v>
      </c>
      <c r="I451">
        <f t="shared" ref="I451:I514" si="204">+G451*H451</f>
        <v>850</v>
      </c>
      <c r="J451" t="s">
        <v>163</v>
      </c>
      <c r="K451">
        <v>130</v>
      </c>
      <c r="M451">
        <f>+K451*G451</f>
        <v>650</v>
      </c>
      <c r="N451">
        <f>+I451-M451</f>
        <v>200</v>
      </c>
    </row>
    <row r="452" spans="1:14" ht="15" customHeight="1" x14ac:dyDescent="0.25">
      <c r="A452">
        <v>3</v>
      </c>
      <c r="B452" s="1">
        <v>43862</v>
      </c>
      <c r="C452" t="s">
        <v>161</v>
      </c>
      <c r="D452" t="s">
        <v>25</v>
      </c>
      <c r="F452" t="s">
        <v>128</v>
      </c>
      <c r="G452">
        <v>1</v>
      </c>
      <c r="H452">
        <v>60</v>
      </c>
      <c r="I452">
        <f t="shared" si="204"/>
        <v>60</v>
      </c>
      <c r="J452" t="s">
        <v>165</v>
      </c>
      <c r="K452">
        <f t="shared" ref="K452" si="205">380/12</f>
        <v>31.666666666666668</v>
      </c>
      <c r="M452">
        <f>+K452*G452</f>
        <v>31.666666666666668</v>
      </c>
      <c r="N452">
        <f>+I452-M452</f>
        <v>28.333333333333332</v>
      </c>
    </row>
    <row r="453" spans="1:14" ht="15" customHeight="1" x14ac:dyDescent="0.25">
      <c r="A453">
        <v>4</v>
      </c>
      <c r="B453" s="1">
        <v>43862</v>
      </c>
      <c r="C453" t="s">
        <v>161</v>
      </c>
      <c r="D453" t="s">
        <v>44</v>
      </c>
      <c r="F453" t="s">
        <v>138</v>
      </c>
      <c r="G453">
        <v>1</v>
      </c>
      <c r="H453">
        <v>35</v>
      </c>
      <c r="I453">
        <f t="shared" si="204"/>
        <v>35</v>
      </c>
      <c r="J453" t="s">
        <v>198</v>
      </c>
      <c r="K453">
        <v>24.5</v>
      </c>
      <c r="M453">
        <f>+K453*G453</f>
        <v>24.5</v>
      </c>
      <c r="N453">
        <f>+I453-M453</f>
        <v>10.5</v>
      </c>
    </row>
    <row r="454" spans="1:14" ht="15" customHeight="1" x14ac:dyDescent="0.25">
      <c r="A454">
        <v>5</v>
      </c>
      <c r="B454" s="1">
        <v>43862</v>
      </c>
      <c r="C454" t="s">
        <v>161</v>
      </c>
      <c r="D454" t="s">
        <v>15</v>
      </c>
      <c r="F454" t="s">
        <v>132</v>
      </c>
      <c r="G454">
        <v>7</v>
      </c>
      <c r="H454">
        <v>280</v>
      </c>
      <c r="I454">
        <f t="shared" si="204"/>
        <v>1960</v>
      </c>
      <c r="J454" t="s">
        <v>163</v>
      </c>
      <c r="K454">
        <v>227</v>
      </c>
      <c r="M454">
        <f t="shared" ref="M454:M455" si="206">+K454*G454</f>
        <v>1589</v>
      </c>
      <c r="N454">
        <f t="shared" ref="N454:N455" si="207">+I454-M454</f>
        <v>371</v>
      </c>
    </row>
    <row r="455" spans="1:14" ht="15" customHeight="1" x14ac:dyDescent="0.25">
      <c r="A455">
        <v>6</v>
      </c>
      <c r="B455" s="1">
        <v>43862</v>
      </c>
      <c r="C455" t="s">
        <v>161</v>
      </c>
      <c r="D455" t="s">
        <v>56</v>
      </c>
      <c r="F455" t="s">
        <v>267</v>
      </c>
      <c r="G455">
        <v>9</v>
      </c>
      <c r="H455">
        <v>170</v>
      </c>
      <c r="I455">
        <f t="shared" si="204"/>
        <v>1530</v>
      </c>
      <c r="J455" t="s">
        <v>163</v>
      </c>
      <c r="K455">
        <v>130</v>
      </c>
      <c r="M455">
        <f t="shared" si="206"/>
        <v>1170</v>
      </c>
      <c r="N455">
        <f t="shared" si="207"/>
        <v>360</v>
      </c>
    </row>
    <row r="456" spans="1:14" ht="15" customHeight="1" x14ac:dyDescent="0.25">
      <c r="A456">
        <v>7</v>
      </c>
      <c r="B456" s="1">
        <v>43862</v>
      </c>
      <c r="C456" t="s">
        <v>161</v>
      </c>
      <c r="D456" t="s">
        <v>44</v>
      </c>
      <c r="F456" t="s">
        <v>77</v>
      </c>
      <c r="G456">
        <v>1</v>
      </c>
      <c r="H456">
        <v>35</v>
      </c>
      <c r="I456">
        <f t="shared" si="204"/>
        <v>35</v>
      </c>
      <c r="J456" t="s">
        <v>166</v>
      </c>
      <c r="K456">
        <v>20</v>
      </c>
      <c r="M456">
        <f>+K456*G456</f>
        <v>20</v>
      </c>
      <c r="N456">
        <f>+I456-M456</f>
        <v>15</v>
      </c>
    </row>
    <row r="457" spans="1:14" ht="15" customHeight="1" x14ac:dyDescent="0.25">
      <c r="A457">
        <v>8</v>
      </c>
      <c r="B457" s="1">
        <v>43862</v>
      </c>
      <c r="C457" t="s">
        <v>161</v>
      </c>
      <c r="D457" t="s">
        <v>24</v>
      </c>
      <c r="F457" t="s">
        <v>24</v>
      </c>
      <c r="G457">
        <v>3.2</v>
      </c>
      <c r="H457">
        <v>100</v>
      </c>
      <c r="I457">
        <f t="shared" si="204"/>
        <v>320</v>
      </c>
      <c r="J457" t="s">
        <v>186</v>
      </c>
      <c r="K457">
        <v>68.22</v>
      </c>
      <c r="M457">
        <f>+K457*G457</f>
        <v>218.304</v>
      </c>
      <c r="N457">
        <f>+I457-M457</f>
        <v>101.696</v>
      </c>
    </row>
    <row r="458" spans="1:14" ht="15" customHeight="1" x14ac:dyDescent="0.25">
      <c r="A458">
        <v>9</v>
      </c>
      <c r="B458" s="1">
        <v>43862</v>
      </c>
      <c r="C458" t="s">
        <v>161</v>
      </c>
      <c r="D458" t="s">
        <v>25</v>
      </c>
      <c r="F458" t="s">
        <v>145</v>
      </c>
      <c r="G458">
        <v>1</v>
      </c>
      <c r="H458">
        <v>120</v>
      </c>
      <c r="I458">
        <f t="shared" si="204"/>
        <v>120</v>
      </c>
      <c r="J458" t="s">
        <v>163</v>
      </c>
      <c r="K458">
        <v>70</v>
      </c>
      <c r="M458">
        <f t="shared" ref="M458:M461" si="208">+K458*G458</f>
        <v>70</v>
      </c>
      <c r="N458">
        <f t="shared" ref="N458:N461" si="209">+I458-M458</f>
        <v>50</v>
      </c>
    </row>
    <row r="459" spans="1:14" ht="15" customHeight="1" x14ac:dyDescent="0.25">
      <c r="A459">
        <v>10</v>
      </c>
      <c r="B459" s="1">
        <v>43862</v>
      </c>
      <c r="C459" t="s">
        <v>161</v>
      </c>
      <c r="D459" t="s">
        <v>15</v>
      </c>
      <c r="F459" t="s">
        <v>54</v>
      </c>
      <c r="G459">
        <v>22</v>
      </c>
      <c r="H459">
        <v>240</v>
      </c>
      <c r="I459">
        <f t="shared" si="204"/>
        <v>5280</v>
      </c>
      <c r="J459" t="s">
        <v>163</v>
      </c>
      <c r="K459">
        <v>212</v>
      </c>
      <c r="M459">
        <f t="shared" si="208"/>
        <v>4664</v>
      </c>
      <c r="N459">
        <f t="shared" si="209"/>
        <v>616</v>
      </c>
    </row>
    <row r="460" spans="1:14" ht="15" customHeight="1" x14ac:dyDescent="0.25">
      <c r="A460">
        <v>11</v>
      </c>
      <c r="B460" s="1">
        <v>43862</v>
      </c>
      <c r="C460" t="s">
        <v>161</v>
      </c>
      <c r="D460" t="s">
        <v>56</v>
      </c>
      <c r="F460" t="s">
        <v>267</v>
      </c>
      <c r="G460">
        <v>8</v>
      </c>
      <c r="H460">
        <v>160</v>
      </c>
      <c r="I460">
        <f t="shared" si="204"/>
        <v>1280</v>
      </c>
      <c r="J460" t="s">
        <v>163</v>
      </c>
      <c r="K460">
        <v>130</v>
      </c>
      <c r="M460">
        <f t="shared" si="208"/>
        <v>1040</v>
      </c>
      <c r="N460">
        <f t="shared" si="209"/>
        <v>240</v>
      </c>
    </row>
    <row r="461" spans="1:14" ht="15" customHeight="1" x14ac:dyDescent="0.25">
      <c r="A461">
        <v>12</v>
      </c>
      <c r="B461" s="1">
        <v>43862</v>
      </c>
      <c r="C461" t="s">
        <v>161</v>
      </c>
      <c r="D461" t="s">
        <v>25</v>
      </c>
      <c r="F461" t="s">
        <v>145</v>
      </c>
      <c r="G461">
        <v>2</v>
      </c>
      <c r="H461">
        <v>100</v>
      </c>
      <c r="I461">
        <f t="shared" si="204"/>
        <v>200</v>
      </c>
      <c r="J461" t="s">
        <v>163</v>
      </c>
      <c r="K461">
        <v>70</v>
      </c>
      <c r="M461">
        <f t="shared" si="208"/>
        <v>140</v>
      </c>
      <c r="N461">
        <f t="shared" si="209"/>
        <v>60</v>
      </c>
    </row>
    <row r="462" spans="1:14" ht="15" customHeight="1" x14ac:dyDescent="0.25">
      <c r="A462">
        <v>13</v>
      </c>
      <c r="B462" s="1">
        <v>43862</v>
      </c>
      <c r="C462" t="s">
        <v>161</v>
      </c>
      <c r="D462" t="s">
        <v>70</v>
      </c>
      <c r="F462" t="s">
        <v>151</v>
      </c>
      <c r="G462">
        <v>1</v>
      </c>
      <c r="H462">
        <v>1800</v>
      </c>
      <c r="I462">
        <f t="shared" si="204"/>
        <v>1800</v>
      </c>
      <c r="J462" t="s">
        <v>167</v>
      </c>
      <c r="K462">
        <v>1580</v>
      </c>
      <c r="M462">
        <f t="shared" ref="M462:M467" si="210">+K462*G462</f>
        <v>1580</v>
      </c>
      <c r="N462">
        <f>+I462-M386:M462</f>
        <v>220</v>
      </c>
    </row>
    <row r="463" spans="1:14" ht="15" customHeight="1" x14ac:dyDescent="0.25">
      <c r="A463">
        <v>14</v>
      </c>
      <c r="B463" s="1">
        <v>43862</v>
      </c>
      <c r="C463" t="s">
        <v>161</v>
      </c>
      <c r="D463" t="s">
        <v>70</v>
      </c>
      <c r="F463" t="s">
        <v>140</v>
      </c>
      <c r="G463">
        <v>1</v>
      </c>
      <c r="H463">
        <v>1600</v>
      </c>
      <c r="I463">
        <f t="shared" si="204"/>
        <v>1600</v>
      </c>
      <c r="J463" t="s">
        <v>163</v>
      </c>
      <c r="K463">
        <v>1432</v>
      </c>
      <c r="M463">
        <f t="shared" si="210"/>
        <v>1432</v>
      </c>
      <c r="N463">
        <f>+I463-M463</f>
        <v>168</v>
      </c>
    </row>
    <row r="464" spans="1:14" ht="15" customHeight="1" x14ac:dyDescent="0.25">
      <c r="A464">
        <v>15</v>
      </c>
      <c r="B464" s="1">
        <v>43862</v>
      </c>
      <c r="C464" t="s">
        <v>161</v>
      </c>
      <c r="D464" t="s">
        <v>85</v>
      </c>
      <c r="F464" t="s">
        <v>86</v>
      </c>
      <c r="G464">
        <v>1</v>
      </c>
      <c r="H464">
        <v>900</v>
      </c>
      <c r="I464">
        <f t="shared" si="204"/>
        <v>900</v>
      </c>
      <c r="J464" t="s">
        <v>167</v>
      </c>
      <c r="K464">
        <v>470</v>
      </c>
      <c r="M464">
        <f t="shared" si="210"/>
        <v>470</v>
      </c>
      <c r="N464">
        <f>+I464-M388:M464</f>
        <v>430</v>
      </c>
    </row>
    <row r="465" spans="1:14" ht="15" customHeight="1" x14ac:dyDescent="0.25">
      <c r="A465">
        <v>16</v>
      </c>
      <c r="B465" s="1">
        <v>43862</v>
      </c>
      <c r="C465" t="s">
        <v>161</v>
      </c>
      <c r="D465" t="s">
        <v>85</v>
      </c>
      <c r="F465" t="s">
        <v>152</v>
      </c>
      <c r="G465">
        <v>2</v>
      </c>
      <c r="H465">
        <v>85</v>
      </c>
      <c r="I465">
        <f t="shared" si="204"/>
        <v>170</v>
      </c>
      <c r="J465" t="s">
        <v>163</v>
      </c>
      <c r="K465">
        <v>67</v>
      </c>
      <c r="M465">
        <f t="shared" si="210"/>
        <v>134</v>
      </c>
      <c r="N465">
        <f>+I465-M465</f>
        <v>36</v>
      </c>
    </row>
    <row r="466" spans="1:14" ht="15" customHeight="1" x14ac:dyDescent="0.25">
      <c r="A466">
        <v>17</v>
      </c>
      <c r="B466" s="1">
        <v>43862</v>
      </c>
      <c r="C466" t="s">
        <v>161</v>
      </c>
      <c r="D466" t="s">
        <v>15</v>
      </c>
      <c r="F466" t="s">
        <v>45</v>
      </c>
      <c r="G466">
        <v>27</v>
      </c>
      <c r="H466">
        <v>290</v>
      </c>
      <c r="I466">
        <f t="shared" si="204"/>
        <v>7830</v>
      </c>
      <c r="J466" t="s">
        <v>13</v>
      </c>
      <c r="K466">
        <v>271</v>
      </c>
      <c r="M466">
        <f t="shared" si="210"/>
        <v>7317</v>
      </c>
      <c r="N466">
        <f>+I466-M466</f>
        <v>513</v>
      </c>
    </row>
    <row r="467" spans="1:14" ht="15" customHeight="1" x14ac:dyDescent="0.25">
      <c r="A467">
        <v>18</v>
      </c>
      <c r="B467" s="1">
        <v>43862</v>
      </c>
      <c r="C467" t="s">
        <v>161</v>
      </c>
      <c r="D467" t="s">
        <v>24</v>
      </c>
      <c r="F467" t="s">
        <v>24</v>
      </c>
      <c r="G467">
        <v>3.2</v>
      </c>
      <c r="H467">
        <v>100</v>
      </c>
      <c r="I467">
        <f t="shared" si="204"/>
        <v>320</v>
      </c>
      <c r="J467" t="s">
        <v>186</v>
      </c>
      <c r="K467">
        <v>68.22</v>
      </c>
      <c r="M467">
        <f t="shared" si="210"/>
        <v>218.304</v>
      </c>
      <c r="N467">
        <f>+I467-M467</f>
        <v>101.696</v>
      </c>
    </row>
    <row r="468" spans="1:14" ht="15" customHeight="1" x14ac:dyDescent="0.25">
      <c r="A468">
        <v>19</v>
      </c>
      <c r="B468" s="1">
        <v>43862</v>
      </c>
      <c r="C468" t="s">
        <v>161</v>
      </c>
      <c r="D468" t="s">
        <v>15</v>
      </c>
      <c r="F468" t="s">
        <v>54</v>
      </c>
      <c r="G468">
        <v>2.31</v>
      </c>
      <c r="H468">
        <v>240</v>
      </c>
      <c r="I468">
        <f t="shared" si="204"/>
        <v>554.4</v>
      </c>
      <c r="J468" t="s">
        <v>163</v>
      </c>
      <c r="K468">
        <v>212</v>
      </c>
      <c r="M468">
        <f t="shared" ref="M468:M470" si="211">+K468*G468</f>
        <v>489.72</v>
      </c>
      <c r="N468">
        <f t="shared" ref="N468:N470" si="212">+I468-M468</f>
        <v>64.67999999999995</v>
      </c>
    </row>
    <row r="469" spans="1:14" ht="15" customHeight="1" x14ac:dyDescent="0.25">
      <c r="A469">
        <v>20</v>
      </c>
      <c r="B469" s="1">
        <v>43862</v>
      </c>
      <c r="C469" t="s">
        <v>161</v>
      </c>
      <c r="D469" t="s">
        <v>15</v>
      </c>
      <c r="F469" t="s">
        <v>29</v>
      </c>
      <c r="G469">
        <v>1.5</v>
      </c>
      <c r="H469">
        <v>230</v>
      </c>
      <c r="I469">
        <f t="shared" si="204"/>
        <v>345</v>
      </c>
      <c r="J469" t="s">
        <v>163</v>
      </c>
      <c r="K469">
        <v>196</v>
      </c>
      <c r="M469">
        <f t="shared" si="211"/>
        <v>294</v>
      </c>
      <c r="N469">
        <f t="shared" si="212"/>
        <v>51</v>
      </c>
    </row>
    <row r="470" spans="1:14" ht="15" customHeight="1" x14ac:dyDescent="0.25">
      <c r="A470">
        <v>21</v>
      </c>
      <c r="B470" s="1">
        <v>43862</v>
      </c>
      <c r="C470" t="s">
        <v>161</v>
      </c>
      <c r="D470" t="s">
        <v>15</v>
      </c>
      <c r="F470" t="s">
        <v>63</v>
      </c>
      <c r="G470">
        <v>1.5</v>
      </c>
      <c r="H470">
        <v>240</v>
      </c>
      <c r="I470">
        <f t="shared" si="204"/>
        <v>360</v>
      </c>
      <c r="J470" t="s">
        <v>163</v>
      </c>
      <c r="K470">
        <v>204</v>
      </c>
      <c r="M470">
        <f t="shared" si="211"/>
        <v>306</v>
      </c>
      <c r="N470">
        <f t="shared" si="212"/>
        <v>54</v>
      </c>
    </row>
    <row r="471" spans="1:14" ht="15" customHeight="1" x14ac:dyDescent="0.25">
      <c r="A471">
        <v>22</v>
      </c>
      <c r="B471" s="1">
        <v>43862</v>
      </c>
      <c r="C471" t="s">
        <v>161</v>
      </c>
      <c r="D471" t="s">
        <v>56</v>
      </c>
      <c r="F471" t="s">
        <v>38</v>
      </c>
      <c r="G471">
        <v>1</v>
      </c>
      <c r="H471">
        <v>110</v>
      </c>
      <c r="I471">
        <f t="shared" si="204"/>
        <v>110</v>
      </c>
      <c r="J471" t="s">
        <v>164</v>
      </c>
      <c r="K471">
        <v>70</v>
      </c>
      <c r="M471">
        <f>+K471*G471</f>
        <v>70</v>
      </c>
      <c r="N471">
        <f>+I471-M471</f>
        <v>40</v>
      </c>
    </row>
    <row r="472" spans="1:14" ht="15" customHeight="1" x14ac:dyDescent="0.25">
      <c r="A472">
        <v>23</v>
      </c>
      <c r="B472" s="1">
        <v>43862</v>
      </c>
      <c r="C472" t="s">
        <v>161</v>
      </c>
      <c r="D472" t="s">
        <v>15</v>
      </c>
      <c r="F472" t="s">
        <v>29</v>
      </c>
      <c r="G472">
        <v>1</v>
      </c>
      <c r="H472">
        <v>230</v>
      </c>
      <c r="I472">
        <f t="shared" si="204"/>
        <v>230</v>
      </c>
      <c r="J472" t="s">
        <v>163</v>
      </c>
      <c r="K472">
        <v>196</v>
      </c>
      <c r="M472">
        <f>+K472*G472</f>
        <v>196</v>
      </c>
      <c r="N472">
        <f>+I472-M472</f>
        <v>34</v>
      </c>
    </row>
    <row r="473" spans="1:14" ht="15" customHeight="1" x14ac:dyDescent="0.25">
      <c r="A473">
        <v>24</v>
      </c>
      <c r="B473" s="1">
        <v>43862</v>
      </c>
      <c r="C473" t="s">
        <v>161</v>
      </c>
      <c r="D473" t="s">
        <v>25</v>
      </c>
      <c r="F473" t="s">
        <v>127</v>
      </c>
      <c r="G473">
        <v>2</v>
      </c>
      <c r="H473">
        <v>60</v>
      </c>
      <c r="I473">
        <f t="shared" si="204"/>
        <v>120</v>
      </c>
      <c r="J473" t="s">
        <v>165</v>
      </c>
      <c r="K473">
        <f t="shared" ref="K473" si="213">380/12</f>
        <v>31.666666666666668</v>
      </c>
      <c r="M473">
        <f>+K473*G473</f>
        <v>63.333333333333336</v>
      </c>
      <c r="N473">
        <f>+I473-M473</f>
        <v>56.666666666666664</v>
      </c>
    </row>
    <row r="474" spans="1:14" ht="15" customHeight="1" x14ac:dyDescent="0.25">
      <c r="A474">
        <v>25</v>
      </c>
      <c r="B474" s="1">
        <v>43862</v>
      </c>
      <c r="C474" t="s">
        <v>161</v>
      </c>
      <c r="D474" t="s">
        <v>44</v>
      </c>
      <c r="F474" t="s">
        <v>138</v>
      </c>
      <c r="G474">
        <v>1</v>
      </c>
      <c r="H474">
        <v>35</v>
      </c>
      <c r="I474">
        <f t="shared" si="204"/>
        <v>35</v>
      </c>
      <c r="J474" t="s">
        <v>198</v>
      </c>
      <c r="K474">
        <v>24.5</v>
      </c>
      <c r="M474">
        <f>+K474*G474</f>
        <v>24.5</v>
      </c>
      <c r="N474">
        <f>+I474-M474</f>
        <v>10.5</v>
      </c>
    </row>
    <row r="475" spans="1:14" ht="15" customHeight="1" x14ac:dyDescent="0.25">
      <c r="A475">
        <v>26</v>
      </c>
      <c r="B475" s="1">
        <v>43864</v>
      </c>
      <c r="C475" t="s">
        <v>161</v>
      </c>
      <c r="D475" t="s">
        <v>55</v>
      </c>
      <c r="F475" t="s">
        <v>89</v>
      </c>
      <c r="G475">
        <v>8</v>
      </c>
      <c r="H475">
        <v>290</v>
      </c>
      <c r="I475">
        <f t="shared" si="204"/>
        <v>2320</v>
      </c>
      <c r="J475" t="s">
        <v>13</v>
      </c>
      <c r="K475">
        <v>271</v>
      </c>
      <c r="M475">
        <f>+K475*G475</f>
        <v>2168</v>
      </c>
      <c r="N475">
        <f>+I475-M475</f>
        <v>152</v>
      </c>
    </row>
    <row r="476" spans="1:14" ht="15" customHeight="1" x14ac:dyDescent="0.25">
      <c r="A476">
        <v>27</v>
      </c>
      <c r="B476" s="1">
        <v>43864</v>
      </c>
      <c r="C476" t="s">
        <v>161</v>
      </c>
      <c r="D476" t="s">
        <v>15</v>
      </c>
      <c r="F476" t="s">
        <v>29</v>
      </c>
      <c r="G476">
        <v>5</v>
      </c>
      <c r="H476">
        <v>230</v>
      </c>
      <c r="I476">
        <f t="shared" si="204"/>
        <v>1150</v>
      </c>
      <c r="J476" t="s">
        <v>163</v>
      </c>
      <c r="K476">
        <v>196</v>
      </c>
      <c r="M476">
        <f t="shared" ref="M476:M482" si="214">+K476*G476</f>
        <v>980</v>
      </c>
      <c r="N476">
        <f t="shared" ref="N476:N482" si="215">+I476-M476</f>
        <v>170</v>
      </c>
    </row>
    <row r="477" spans="1:14" ht="15" customHeight="1" x14ac:dyDescent="0.25">
      <c r="A477">
        <v>28</v>
      </c>
      <c r="B477" s="1">
        <v>43864</v>
      </c>
      <c r="C477" t="s">
        <v>161</v>
      </c>
      <c r="D477" t="s">
        <v>15</v>
      </c>
      <c r="F477" t="s">
        <v>32</v>
      </c>
      <c r="G477">
        <v>5</v>
      </c>
      <c r="H477">
        <v>280</v>
      </c>
      <c r="I477">
        <f t="shared" si="204"/>
        <v>1400</v>
      </c>
      <c r="J477" t="s">
        <v>163</v>
      </c>
      <c r="K477">
        <v>214</v>
      </c>
      <c r="M477">
        <f t="shared" si="214"/>
        <v>1070</v>
      </c>
      <c r="N477">
        <f t="shared" si="215"/>
        <v>330</v>
      </c>
    </row>
    <row r="478" spans="1:14" ht="15" customHeight="1" x14ac:dyDescent="0.25">
      <c r="A478">
        <v>29</v>
      </c>
      <c r="B478" s="1">
        <v>43864</v>
      </c>
      <c r="C478" t="s">
        <v>161</v>
      </c>
      <c r="D478" t="s">
        <v>15</v>
      </c>
      <c r="F478" t="s">
        <v>21</v>
      </c>
      <c r="G478">
        <v>2</v>
      </c>
      <c r="H478">
        <v>290</v>
      </c>
      <c r="I478">
        <f t="shared" si="204"/>
        <v>580</v>
      </c>
      <c r="J478" t="s">
        <v>13</v>
      </c>
      <c r="K478">
        <v>271</v>
      </c>
      <c r="M478">
        <f t="shared" si="214"/>
        <v>542</v>
      </c>
      <c r="N478">
        <f t="shared" si="215"/>
        <v>38</v>
      </c>
    </row>
    <row r="479" spans="1:14" ht="15" customHeight="1" x14ac:dyDescent="0.25">
      <c r="A479">
        <v>30</v>
      </c>
      <c r="B479" s="1">
        <v>43864</v>
      </c>
      <c r="C479" t="s">
        <v>161</v>
      </c>
      <c r="D479" t="s">
        <v>56</v>
      </c>
      <c r="F479" t="s">
        <v>267</v>
      </c>
      <c r="G479">
        <v>3</v>
      </c>
      <c r="H479">
        <v>170</v>
      </c>
      <c r="I479">
        <f t="shared" si="204"/>
        <v>510</v>
      </c>
      <c r="J479" t="s">
        <v>163</v>
      </c>
      <c r="K479">
        <v>130</v>
      </c>
      <c r="M479">
        <f t="shared" si="214"/>
        <v>390</v>
      </c>
      <c r="N479">
        <f t="shared" si="215"/>
        <v>120</v>
      </c>
    </row>
    <row r="480" spans="1:14" ht="15" customHeight="1" x14ac:dyDescent="0.25">
      <c r="A480">
        <v>31</v>
      </c>
      <c r="B480" s="1">
        <v>43864</v>
      </c>
      <c r="C480" t="s">
        <v>161</v>
      </c>
      <c r="D480" t="s">
        <v>55</v>
      </c>
      <c r="F480" t="s">
        <v>22</v>
      </c>
      <c r="G480">
        <v>3</v>
      </c>
      <c r="H480">
        <v>290</v>
      </c>
      <c r="I480">
        <f t="shared" si="204"/>
        <v>870</v>
      </c>
      <c r="J480" t="s">
        <v>13</v>
      </c>
      <c r="K480">
        <v>271</v>
      </c>
      <c r="M480">
        <f t="shared" si="214"/>
        <v>813</v>
      </c>
      <c r="N480">
        <f t="shared" si="215"/>
        <v>57</v>
      </c>
    </row>
    <row r="481" spans="1:14" ht="15" customHeight="1" x14ac:dyDescent="0.25">
      <c r="A481">
        <v>32</v>
      </c>
      <c r="B481" s="1">
        <v>43864</v>
      </c>
      <c r="C481" t="s">
        <v>161</v>
      </c>
      <c r="D481" t="s">
        <v>15</v>
      </c>
      <c r="F481" t="s">
        <v>29</v>
      </c>
      <c r="G481">
        <v>4</v>
      </c>
      <c r="H481">
        <v>230</v>
      </c>
      <c r="I481">
        <f t="shared" si="204"/>
        <v>920</v>
      </c>
      <c r="J481" t="s">
        <v>163</v>
      </c>
      <c r="K481">
        <v>196</v>
      </c>
      <c r="M481">
        <f t="shared" si="214"/>
        <v>784</v>
      </c>
      <c r="N481">
        <f t="shared" si="215"/>
        <v>136</v>
      </c>
    </row>
    <row r="482" spans="1:14" ht="15" customHeight="1" x14ac:dyDescent="0.25">
      <c r="A482">
        <v>33</v>
      </c>
      <c r="B482" s="1">
        <v>43864</v>
      </c>
      <c r="C482" t="s">
        <v>161</v>
      </c>
      <c r="D482" t="s">
        <v>70</v>
      </c>
      <c r="F482" t="s">
        <v>151</v>
      </c>
      <c r="G482">
        <v>1</v>
      </c>
      <c r="H482">
        <v>1800</v>
      </c>
      <c r="I482">
        <f t="shared" si="204"/>
        <v>1800</v>
      </c>
      <c r="J482" t="s">
        <v>167</v>
      </c>
      <c r="K482">
        <v>1580</v>
      </c>
      <c r="M482">
        <f t="shared" si="214"/>
        <v>1580</v>
      </c>
      <c r="N482">
        <f t="shared" si="215"/>
        <v>220</v>
      </c>
    </row>
    <row r="483" spans="1:14" ht="15" customHeight="1" x14ac:dyDescent="0.25">
      <c r="A483">
        <v>34</v>
      </c>
      <c r="B483" s="1">
        <v>43865</v>
      </c>
      <c r="C483" t="s">
        <v>161</v>
      </c>
      <c r="D483" t="s">
        <v>55</v>
      </c>
      <c r="F483" t="s">
        <v>22</v>
      </c>
      <c r="G483">
        <f>4/17</f>
        <v>0.23529411764705882</v>
      </c>
      <c r="H483">
        <v>290</v>
      </c>
      <c r="I483">
        <f t="shared" si="204"/>
        <v>68.235294117647058</v>
      </c>
      <c r="J483" t="s">
        <v>13</v>
      </c>
      <c r="K483">
        <v>271</v>
      </c>
      <c r="M483">
        <f t="shared" ref="M483:M513" si="216">+K483*G483</f>
        <v>63.764705882352942</v>
      </c>
      <c r="N483">
        <f t="shared" ref="N483:N513" si="217">+I483-M483</f>
        <v>4.470588235294116</v>
      </c>
    </row>
    <row r="484" spans="1:14" ht="15" customHeight="1" x14ac:dyDescent="0.25">
      <c r="A484">
        <v>35</v>
      </c>
      <c r="B484" s="1">
        <v>43865</v>
      </c>
      <c r="C484" t="s">
        <v>161</v>
      </c>
      <c r="D484" t="s">
        <v>15</v>
      </c>
      <c r="F484" t="s">
        <v>201</v>
      </c>
      <c r="G484">
        <f>4/10</f>
        <v>0.4</v>
      </c>
      <c r="H484">
        <v>240</v>
      </c>
      <c r="I484">
        <f t="shared" si="204"/>
        <v>96</v>
      </c>
      <c r="J484" t="s">
        <v>163</v>
      </c>
      <c r="K484">
        <v>176</v>
      </c>
      <c r="M484">
        <f t="shared" si="216"/>
        <v>70.400000000000006</v>
      </c>
      <c r="N484">
        <f t="shared" si="217"/>
        <v>25.599999999999994</v>
      </c>
    </row>
    <row r="485" spans="1:14" ht="15" customHeight="1" x14ac:dyDescent="0.25">
      <c r="A485">
        <v>36</v>
      </c>
      <c r="B485" s="1">
        <v>43865</v>
      </c>
      <c r="C485" t="s">
        <v>161</v>
      </c>
      <c r="D485" t="s">
        <v>15</v>
      </c>
      <c r="F485" t="s">
        <v>28</v>
      </c>
      <c r="G485">
        <v>5</v>
      </c>
      <c r="H485">
        <v>230</v>
      </c>
      <c r="I485">
        <f t="shared" si="204"/>
        <v>1150</v>
      </c>
      <c r="J485" t="s">
        <v>163</v>
      </c>
      <c r="K485">
        <v>182</v>
      </c>
      <c r="M485">
        <f t="shared" si="216"/>
        <v>910</v>
      </c>
      <c r="N485">
        <f t="shared" si="217"/>
        <v>240</v>
      </c>
    </row>
    <row r="486" spans="1:14" ht="15" customHeight="1" x14ac:dyDescent="0.25">
      <c r="A486">
        <v>37</v>
      </c>
      <c r="B486" s="1">
        <v>43865</v>
      </c>
      <c r="C486" t="s">
        <v>161</v>
      </c>
      <c r="D486" t="s">
        <v>15</v>
      </c>
      <c r="F486" t="s">
        <v>153</v>
      </c>
      <c r="G486">
        <v>1</v>
      </c>
      <c r="H486">
        <v>240</v>
      </c>
      <c r="I486">
        <f t="shared" si="204"/>
        <v>240</v>
      </c>
      <c r="J486" t="s">
        <v>163</v>
      </c>
      <c r="K486">
        <v>194</v>
      </c>
      <c r="M486">
        <f t="shared" si="216"/>
        <v>194</v>
      </c>
      <c r="N486">
        <f t="shared" si="217"/>
        <v>46</v>
      </c>
    </row>
    <row r="487" spans="1:14" ht="15" customHeight="1" x14ac:dyDescent="0.25">
      <c r="A487">
        <v>38</v>
      </c>
      <c r="B487" s="1">
        <v>43865</v>
      </c>
      <c r="C487" t="s">
        <v>161</v>
      </c>
      <c r="D487" t="s">
        <v>15</v>
      </c>
      <c r="F487" t="s">
        <v>28</v>
      </c>
      <c r="G487">
        <f>3/9</f>
        <v>0.33333333333333331</v>
      </c>
      <c r="H487">
        <v>230</v>
      </c>
      <c r="I487">
        <f t="shared" si="204"/>
        <v>76.666666666666657</v>
      </c>
      <c r="J487" t="s">
        <v>163</v>
      </c>
      <c r="K487">
        <v>182</v>
      </c>
      <c r="M487">
        <f t="shared" si="216"/>
        <v>60.666666666666664</v>
      </c>
      <c r="N487">
        <f t="shared" si="217"/>
        <v>15.999999999999993</v>
      </c>
    </row>
    <row r="488" spans="1:14" ht="15" customHeight="1" x14ac:dyDescent="0.25">
      <c r="A488">
        <v>39</v>
      </c>
      <c r="B488" s="1">
        <v>43865</v>
      </c>
      <c r="C488" t="s">
        <v>161</v>
      </c>
      <c r="D488" t="s">
        <v>15</v>
      </c>
      <c r="F488" t="s">
        <v>54</v>
      </c>
      <c r="G488">
        <f>5/4.32</f>
        <v>1.1574074074074074</v>
      </c>
      <c r="H488">
        <v>240</v>
      </c>
      <c r="I488">
        <f t="shared" si="204"/>
        <v>277.77777777777777</v>
      </c>
      <c r="J488" t="s">
        <v>163</v>
      </c>
      <c r="K488">
        <v>212</v>
      </c>
      <c r="M488">
        <f t="shared" si="216"/>
        <v>245.37037037037038</v>
      </c>
      <c r="N488">
        <f t="shared" si="217"/>
        <v>32.407407407407391</v>
      </c>
    </row>
    <row r="489" spans="1:14" x14ac:dyDescent="0.25">
      <c r="A489">
        <v>40</v>
      </c>
      <c r="B489" s="1">
        <v>43865</v>
      </c>
      <c r="C489" t="s">
        <v>161</v>
      </c>
      <c r="D489" t="s">
        <v>15</v>
      </c>
      <c r="F489" t="s">
        <v>76</v>
      </c>
      <c r="G489">
        <v>5.5</v>
      </c>
      <c r="H489">
        <v>230</v>
      </c>
      <c r="I489">
        <f t="shared" si="204"/>
        <v>1265</v>
      </c>
      <c r="J489" t="s">
        <v>163</v>
      </c>
      <c r="K489">
        <v>176</v>
      </c>
      <c r="M489">
        <f t="shared" si="216"/>
        <v>968</v>
      </c>
      <c r="N489">
        <f t="shared" si="217"/>
        <v>297</v>
      </c>
    </row>
    <row r="490" spans="1:14" ht="15" customHeight="1" x14ac:dyDescent="0.25">
      <c r="A490">
        <v>41</v>
      </c>
      <c r="B490" s="1">
        <v>43865</v>
      </c>
      <c r="C490" t="s">
        <v>161</v>
      </c>
      <c r="D490" t="s">
        <v>15</v>
      </c>
      <c r="F490" t="s">
        <v>29</v>
      </c>
      <c r="G490">
        <v>7</v>
      </c>
      <c r="H490">
        <v>230</v>
      </c>
      <c r="I490">
        <f t="shared" si="204"/>
        <v>1610</v>
      </c>
      <c r="J490" t="s">
        <v>163</v>
      </c>
      <c r="K490">
        <v>196</v>
      </c>
      <c r="M490">
        <f t="shared" si="216"/>
        <v>1372</v>
      </c>
      <c r="N490">
        <f t="shared" si="217"/>
        <v>238</v>
      </c>
    </row>
    <row r="491" spans="1:14" ht="15" customHeight="1" x14ac:dyDescent="0.25">
      <c r="A491">
        <v>42</v>
      </c>
      <c r="B491" s="1">
        <v>43865</v>
      </c>
      <c r="C491" t="s">
        <v>161</v>
      </c>
      <c r="D491" t="s">
        <v>25</v>
      </c>
      <c r="F491" t="s">
        <v>127</v>
      </c>
      <c r="G491">
        <v>1</v>
      </c>
      <c r="H491">
        <v>60</v>
      </c>
      <c r="I491">
        <f t="shared" si="204"/>
        <v>60</v>
      </c>
      <c r="J491" t="s">
        <v>165</v>
      </c>
      <c r="K491">
        <f>380/12</f>
        <v>31.666666666666668</v>
      </c>
      <c r="M491">
        <f t="shared" si="216"/>
        <v>31.666666666666668</v>
      </c>
      <c r="N491">
        <f t="shared" si="217"/>
        <v>28.333333333333332</v>
      </c>
    </row>
    <row r="492" spans="1:14" ht="15" customHeight="1" x14ac:dyDescent="0.25">
      <c r="A492">
        <v>43</v>
      </c>
      <c r="B492" s="1">
        <v>43865</v>
      </c>
      <c r="C492" t="s">
        <v>161</v>
      </c>
      <c r="D492" t="s">
        <v>75</v>
      </c>
      <c r="F492" t="s">
        <v>154</v>
      </c>
      <c r="G492">
        <v>34</v>
      </c>
      <c r="H492">
        <v>40</v>
      </c>
      <c r="I492">
        <f t="shared" si="204"/>
        <v>1360</v>
      </c>
      <c r="J492" t="s">
        <v>163</v>
      </c>
      <c r="K492">
        <v>22</v>
      </c>
      <c r="M492">
        <f t="shared" si="216"/>
        <v>748</v>
      </c>
      <c r="N492">
        <f t="shared" si="217"/>
        <v>612</v>
      </c>
    </row>
    <row r="493" spans="1:14" ht="15" customHeight="1" x14ac:dyDescent="0.25">
      <c r="A493">
        <v>44</v>
      </c>
      <c r="B493" s="1">
        <v>43865</v>
      </c>
      <c r="C493" t="s">
        <v>161</v>
      </c>
      <c r="D493" t="s">
        <v>55</v>
      </c>
      <c r="F493" t="s">
        <v>22</v>
      </c>
      <c r="G493">
        <v>7</v>
      </c>
      <c r="H493">
        <v>290</v>
      </c>
      <c r="I493">
        <f t="shared" si="204"/>
        <v>2030</v>
      </c>
      <c r="J493" t="s">
        <v>13</v>
      </c>
      <c r="K493">
        <v>271</v>
      </c>
      <c r="M493">
        <f t="shared" si="216"/>
        <v>1897</v>
      </c>
      <c r="N493">
        <f t="shared" si="217"/>
        <v>133</v>
      </c>
    </row>
    <row r="494" spans="1:14" ht="15" customHeight="1" x14ac:dyDescent="0.25">
      <c r="A494">
        <v>45</v>
      </c>
      <c r="B494" s="1">
        <v>43865</v>
      </c>
      <c r="C494" t="s">
        <v>161</v>
      </c>
      <c r="D494" t="s">
        <v>25</v>
      </c>
      <c r="F494" t="s">
        <v>145</v>
      </c>
      <c r="G494">
        <v>1</v>
      </c>
      <c r="H494">
        <v>100</v>
      </c>
      <c r="I494">
        <f t="shared" si="204"/>
        <v>100</v>
      </c>
      <c r="J494" t="s">
        <v>163</v>
      </c>
      <c r="K494">
        <v>70</v>
      </c>
      <c r="M494">
        <f t="shared" si="216"/>
        <v>70</v>
      </c>
      <c r="N494">
        <f t="shared" si="217"/>
        <v>30</v>
      </c>
    </row>
    <row r="495" spans="1:14" ht="15" customHeight="1" x14ac:dyDescent="0.25">
      <c r="A495">
        <v>46</v>
      </c>
      <c r="B495" s="1">
        <v>43865</v>
      </c>
      <c r="C495" t="s">
        <v>161</v>
      </c>
      <c r="D495" t="s">
        <v>25</v>
      </c>
      <c r="F495" t="s">
        <v>145</v>
      </c>
      <c r="G495">
        <v>1</v>
      </c>
      <c r="H495">
        <v>100</v>
      </c>
      <c r="I495">
        <f t="shared" si="204"/>
        <v>100</v>
      </c>
      <c r="J495" t="s">
        <v>163</v>
      </c>
      <c r="K495">
        <v>70</v>
      </c>
      <c r="M495">
        <f t="shared" si="216"/>
        <v>70</v>
      </c>
      <c r="N495">
        <f t="shared" si="217"/>
        <v>30</v>
      </c>
    </row>
    <row r="496" spans="1:14" ht="15" customHeight="1" x14ac:dyDescent="0.25">
      <c r="A496">
        <v>47</v>
      </c>
      <c r="B496" s="1">
        <v>43865</v>
      </c>
      <c r="C496" t="s">
        <v>161</v>
      </c>
      <c r="D496" t="s">
        <v>25</v>
      </c>
      <c r="F496" t="s">
        <v>173</v>
      </c>
      <c r="G496">
        <v>1</v>
      </c>
      <c r="H496">
        <v>100</v>
      </c>
      <c r="I496">
        <f t="shared" si="204"/>
        <v>100</v>
      </c>
      <c r="J496" t="s">
        <v>163</v>
      </c>
      <c r="K496">
        <v>76</v>
      </c>
      <c r="M496">
        <f t="shared" si="216"/>
        <v>76</v>
      </c>
      <c r="N496">
        <f t="shared" si="217"/>
        <v>24</v>
      </c>
    </row>
    <row r="497" spans="1:14" ht="15" customHeight="1" x14ac:dyDescent="0.25">
      <c r="A497">
        <v>48</v>
      </c>
      <c r="B497" s="1">
        <v>43865</v>
      </c>
      <c r="C497" t="s">
        <v>161</v>
      </c>
      <c r="D497" t="s">
        <v>55</v>
      </c>
      <c r="F497" t="s">
        <v>22</v>
      </c>
      <c r="G497">
        <v>2</v>
      </c>
      <c r="H497">
        <v>290</v>
      </c>
      <c r="I497">
        <f t="shared" si="204"/>
        <v>580</v>
      </c>
      <c r="J497" t="s">
        <v>13</v>
      </c>
      <c r="K497">
        <v>271</v>
      </c>
      <c r="M497">
        <f t="shared" si="216"/>
        <v>542</v>
      </c>
      <c r="N497">
        <f t="shared" si="217"/>
        <v>38</v>
      </c>
    </row>
    <row r="498" spans="1:14" ht="15" customHeight="1" x14ac:dyDescent="0.25">
      <c r="A498">
        <v>49</v>
      </c>
      <c r="B498" s="1">
        <v>43865</v>
      </c>
      <c r="C498" t="s">
        <v>161</v>
      </c>
      <c r="D498" t="s">
        <v>44</v>
      </c>
      <c r="F498" t="s">
        <v>138</v>
      </c>
      <c r="G498">
        <v>1</v>
      </c>
      <c r="H498">
        <v>35</v>
      </c>
      <c r="I498">
        <f t="shared" si="204"/>
        <v>35</v>
      </c>
      <c r="J498" t="s">
        <v>166</v>
      </c>
      <c r="K498">
        <v>22</v>
      </c>
      <c r="M498">
        <f t="shared" si="216"/>
        <v>22</v>
      </c>
      <c r="N498">
        <f t="shared" si="217"/>
        <v>13</v>
      </c>
    </row>
    <row r="499" spans="1:14" ht="15" customHeight="1" x14ac:dyDescent="0.25">
      <c r="A499">
        <v>50</v>
      </c>
      <c r="B499" s="1">
        <v>43865</v>
      </c>
      <c r="C499" t="s">
        <v>161</v>
      </c>
      <c r="D499" t="s">
        <v>15</v>
      </c>
      <c r="F499" t="s">
        <v>20</v>
      </c>
      <c r="G499">
        <v>12</v>
      </c>
      <c r="H499">
        <v>240</v>
      </c>
      <c r="I499">
        <f t="shared" si="204"/>
        <v>2880</v>
      </c>
      <c r="J499" t="s">
        <v>163</v>
      </c>
      <c r="K499">
        <v>216</v>
      </c>
      <c r="M499">
        <f t="shared" si="216"/>
        <v>2592</v>
      </c>
      <c r="N499">
        <f t="shared" si="217"/>
        <v>288</v>
      </c>
    </row>
    <row r="500" spans="1:14" ht="15" customHeight="1" x14ac:dyDescent="0.25">
      <c r="A500">
        <v>51</v>
      </c>
      <c r="B500" s="1">
        <v>43865</v>
      </c>
      <c r="C500" t="s">
        <v>161</v>
      </c>
      <c r="D500" t="s">
        <v>24</v>
      </c>
      <c r="F500" t="s">
        <v>24</v>
      </c>
      <c r="G500">
        <v>1</v>
      </c>
      <c r="H500">
        <v>100</v>
      </c>
      <c r="I500">
        <f t="shared" si="204"/>
        <v>100</v>
      </c>
      <c r="J500" t="s">
        <v>186</v>
      </c>
      <c r="K500">
        <v>68.22</v>
      </c>
      <c r="M500">
        <f t="shared" si="216"/>
        <v>68.22</v>
      </c>
      <c r="N500">
        <f t="shared" si="217"/>
        <v>31.78</v>
      </c>
    </row>
    <row r="501" spans="1:14" ht="15" customHeight="1" x14ac:dyDescent="0.25">
      <c r="A501">
        <v>52</v>
      </c>
      <c r="B501" s="1">
        <v>43865</v>
      </c>
      <c r="C501" t="s">
        <v>161</v>
      </c>
      <c r="D501" t="s">
        <v>25</v>
      </c>
      <c r="F501" t="s">
        <v>147</v>
      </c>
      <c r="G501">
        <v>2</v>
      </c>
      <c r="H501">
        <v>60</v>
      </c>
      <c r="I501">
        <f t="shared" si="204"/>
        <v>120</v>
      </c>
      <c r="J501" t="s">
        <v>165</v>
      </c>
      <c r="K501">
        <f>380/12</f>
        <v>31.666666666666668</v>
      </c>
      <c r="M501">
        <f t="shared" si="216"/>
        <v>63.333333333333336</v>
      </c>
      <c r="N501">
        <f t="shared" si="217"/>
        <v>56.666666666666664</v>
      </c>
    </row>
    <row r="502" spans="1:14" ht="15" customHeight="1" x14ac:dyDescent="0.25">
      <c r="A502">
        <v>53</v>
      </c>
      <c r="B502" s="1">
        <v>43865</v>
      </c>
      <c r="C502" t="s">
        <v>161</v>
      </c>
      <c r="D502" t="s">
        <v>44</v>
      </c>
      <c r="F502" t="s">
        <v>77</v>
      </c>
      <c r="G502">
        <v>1</v>
      </c>
      <c r="H502">
        <v>35</v>
      </c>
      <c r="I502">
        <f t="shared" si="204"/>
        <v>35</v>
      </c>
      <c r="J502" t="s">
        <v>166</v>
      </c>
      <c r="K502">
        <v>22</v>
      </c>
      <c r="M502">
        <f t="shared" si="216"/>
        <v>22</v>
      </c>
      <c r="N502">
        <f t="shared" si="217"/>
        <v>13</v>
      </c>
    </row>
    <row r="503" spans="1:14" ht="15" customHeight="1" x14ac:dyDescent="0.25">
      <c r="A503">
        <v>54</v>
      </c>
      <c r="B503" s="1">
        <v>43865</v>
      </c>
      <c r="C503" t="s">
        <v>161</v>
      </c>
      <c r="D503" t="s">
        <v>15</v>
      </c>
      <c r="F503" t="s">
        <v>54</v>
      </c>
      <c r="G503">
        <v>60</v>
      </c>
      <c r="H503">
        <v>240</v>
      </c>
      <c r="I503">
        <f t="shared" si="204"/>
        <v>14400</v>
      </c>
      <c r="J503" t="s">
        <v>163</v>
      </c>
      <c r="K503">
        <v>212</v>
      </c>
      <c r="M503">
        <f t="shared" si="216"/>
        <v>12720</v>
      </c>
      <c r="N503">
        <f t="shared" si="217"/>
        <v>1680</v>
      </c>
    </row>
    <row r="504" spans="1:14" ht="15" customHeight="1" x14ac:dyDescent="0.25">
      <c r="A504">
        <v>55</v>
      </c>
      <c r="B504" s="1">
        <v>43865</v>
      </c>
      <c r="C504" t="s">
        <v>161</v>
      </c>
      <c r="D504" t="s">
        <v>15</v>
      </c>
      <c r="F504" t="s">
        <v>32</v>
      </c>
      <c r="G504">
        <v>1</v>
      </c>
      <c r="H504">
        <v>280</v>
      </c>
      <c r="I504">
        <f t="shared" si="204"/>
        <v>280</v>
      </c>
      <c r="J504" t="s">
        <v>163</v>
      </c>
      <c r="K504">
        <v>214</v>
      </c>
      <c r="M504">
        <f t="shared" si="216"/>
        <v>214</v>
      </c>
      <c r="N504">
        <f t="shared" si="217"/>
        <v>66</v>
      </c>
    </row>
    <row r="505" spans="1:14" ht="15" customHeight="1" x14ac:dyDescent="0.25">
      <c r="A505">
        <v>56</v>
      </c>
      <c r="B505" s="1">
        <v>43865</v>
      </c>
      <c r="C505" t="s">
        <v>161</v>
      </c>
      <c r="D505" t="s">
        <v>68</v>
      </c>
      <c r="F505" t="s">
        <v>202</v>
      </c>
      <c r="G505">
        <v>2</v>
      </c>
      <c r="H505">
        <v>180</v>
      </c>
      <c r="I505">
        <f t="shared" si="204"/>
        <v>360</v>
      </c>
      <c r="J505" t="s">
        <v>395</v>
      </c>
      <c r="K505">
        <v>117.5</v>
      </c>
      <c r="M505">
        <f t="shared" si="216"/>
        <v>235</v>
      </c>
      <c r="N505">
        <f>+I505-M505</f>
        <v>125</v>
      </c>
    </row>
    <row r="506" spans="1:14" ht="15" customHeight="1" x14ac:dyDescent="0.25">
      <c r="A506">
        <v>57</v>
      </c>
      <c r="B506" s="1">
        <v>43865</v>
      </c>
      <c r="C506" t="s">
        <v>161</v>
      </c>
      <c r="D506" t="s">
        <v>15</v>
      </c>
      <c r="F506" t="s">
        <v>63</v>
      </c>
      <c r="G506">
        <f>2/9</f>
        <v>0.22222222222222221</v>
      </c>
      <c r="H506">
        <v>240</v>
      </c>
      <c r="I506">
        <f t="shared" si="204"/>
        <v>53.333333333333329</v>
      </c>
      <c r="J506" t="s">
        <v>163</v>
      </c>
      <c r="K506">
        <v>204</v>
      </c>
      <c r="M506">
        <f t="shared" si="216"/>
        <v>45.333333333333329</v>
      </c>
      <c r="N506">
        <f t="shared" si="217"/>
        <v>8</v>
      </c>
    </row>
    <row r="507" spans="1:14" ht="15" customHeight="1" x14ac:dyDescent="0.25">
      <c r="A507">
        <v>58</v>
      </c>
      <c r="B507" s="1">
        <v>43865</v>
      </c>
      <c r="C507" t="s">
        <v>161</v>
      </c>
      <c r="D507" t="s">
        <v>15</v>
      </c>
      <c r="F507" t="s">
        <v>97</v>
      </c>
      <c r="G507">
        <v>2</v>
      </c>
      <c r="H507">
        <v>280</v>
      </c>
      <c r="I507">
        <f t="shared" si="204"/>
        <v>560</v>
      </c>
      <c r="J507" t="s">
        <v>13</v>
      </c>
      <c r="K507">
        <v>226</v>
      </c>
      <c r="M507">
        <f t="shared" si="216"/>
        <v>452</v>
      </c>
      <c r="N507">
        <f t="shared" si="217"/>
        <v>108</v>
      </c>
    </row>
    <row r="508" spans="1:14" ht="15" customHeight="1" x14ac:dyDescent="0.25">
      <c r="A508">
        <v>59</v>
      </c>
      <c r="B508" s="1">
        <v>43865</v>
      </c>
      <c r="C508" t="s">
        <v>161</v>
      </c>
      <c r="D508" t="s">
        <v>25</v>
      </c>
      <c r="F508" t="s">
        <v>137</v>
      </c>
      <c r="G508">
        <v>1</v>
      </c>
      <c r="H508">
        <v>60</v>
      </c>
      <c r="I508">
        <f t="shared" si="204"/>
        <v>60</v>
      </c>
      <c r="J508" t="s">
        <v>165</v>
      </c>
      <c r="K508">
        <f>380/12</f>
        <v>31.666666666666668</v>
      </c>
      <c r="M508">
        <f t="shared" si="216"/>
        <v>31.666666666666668</v>
      </c>
      <c r="N508">
        <f t="shared" si="217"/>
        <v>28.333333333333332</v>
      </c>
    </row>
    <row r="509" spans="1:14" ht="15" customHeight="1" x14ac:dyDescent="0.25">
      <c r="A509">
        <v>60</v>
      </c>
      <c r="B509" s="1">
        <v>43865</v>
      </c>
      <c r="C509" t="s">
        <v>161</v>
      </c>
      <c r="D509" t="s">
        <v>25</v>
      </c>
      <c r="F509" t="s">
        <v>203</v>
      </c>
      <c r="G509">
        <v>2</v>
      </c>
      <c r="H509">
        <v>100</v>
      </c>
      <c r="I509">
        <f t="shared" si="204"/>
        <v>200</v>
      </c>
      <c r="J509" t="s">
        <v>163</v>
      </c>
      <c r="K509">
        <v>76</v>
      </c>
      <c r="M509">
        <f t="shared" si="216"/>
        <v>152</v>
      </c>
      <c r="N509">
        <f t="shared" si="217"/>
        <v>48</v>
      </c>
    </row>
    <row r="510" spans="1:14" ht="15" customHeight="1" x14ac:dyDescent="0.25">
      <c r="A510">
        <v>61</v>
      </c>
      <c r="B510" s="1">
        <v>43865</v>
      </c>
      <c r="C510" t="s">
        <v>161</v>
      </c>
      <c r="D510" t="s">
        <v>25</v>
      </c>
      <c r="F510" t="s">
        <v>137</v>
      </c>
      <c r="G510">
        <v>2</v>
      </c>
      <c r="H510">
        <v>60</v>
      </c>
      <c r="I510">
        <f t="shared" si="204"/>
        <v>120</v>
      </c>
      <c r="J510" t="s">
        <v>165</v>
      </c>
      <c r="K510">
        <f>380/12</f>
        <v>31.666666666666668</v>
      </c>
      <c r="M510">
        <f t="shared" si="216"/>
        <v>63.333333333333336</v>
      </c>
      <c r="N510">
        <f t="shared" si="217"/>
        <v>56.666666666666664</v>
      </c>
    </row>
    <row r="511" spans="1:14" ht="15" customHeight="1" x14ac:dyDescent="0.25">
      <c r="A511">
        <v>62</v>
      </c>
      <c r="B511" s="1">
        <v>43865</v>
      </c>
      <c r="C511" t="s">
        <v>161</v>
      </c>
      <c r="D511" t="s">
        <v>15</v>
      </c>
      <c r="F511" t="s">
        <v>110</v>
      </c>
      <c r="G511">
        <v>14</v>
      </c>
      <c r="H511">
        <v>290</v>
      </c>
      <c r="I511">
        <f t="shared" si="204"/>
        <v>4060</v>
      </c>
      <c r="J511" t="s">
        <v>13</v>
      </c>
      <c r="K511">
        <v>271</v>
      </c>
      <c r="M511">
        <f t="shared" si="216"/>
        <v>3794</v>
      </c>
      <c r="N511">
        <f t="shared" si="217"/>
        <v>266</v>
      </c>
    </row>
    <row r="512" spans="1:14" ht="15" customHeight="1" x14ac:dyDescent="0.25">
      <c r="A512">
        <v>63</v>
      </c>
      <c r="B512" s="1">
        <v>43865</v>
      </c>
      <c r="C512" t="s">
        <v>161</v>
      </c>
      <c r="D512" t="s">
        <v>56</v>
      </c>
      <c r="F512" t="s">
        <v>38</v>
      </c>
      <c r="G512">
        <v>5</v>
      </c>
      <c r="H512">
        <v>110</v>
      </c>
      <c r="I512">
        <f t="shared" si="204"/>
        <v>550</v>
      </c>
      <c r="J512" t="s">
        <v>164</v>
      </c>
      <c r="K512">
        <v>70</v>
      </c>
      <c r="M512">
        <f t="shared" si="216"/>
        <v>350</v>
      </c>
      <c r="N512">
        <f t="shared" si="217"/>
        <v>200</v>
      </c>
    </row>
    <row r="513" spans="1:14" ht="15" customHeight="1" x14ac:dyDescent="0.25">
      <c r="A513">
        <v>64</v>
      </c>
      <c r="B513" s="1">
        <v>43865</v>
      </c>
      <c r="C513" t="s">
        <v>161</v>
      </c>
      <c r="D513" t="s">
        <v>25</v>
      </c>
      <c r="F513" t="s">
        <v>156</v>
      </c>
      <c r="G513">
        <v>2</v>
      </c>
      <c r="H513">
        <v>60</v>
      </c>
      <c r="I513">
        <f t="shared" si="204"/>
        <v>120</v>
      </c>
      <c r="J513" t="s">
        <v>165</v>
      </c>
      <c r="K513">
        <f>380/12</f>
        <v>31.666666666666668</v>
      </c>
      <c r="M513">
        <f t="shared" si="216"/>
        <v>63.333333333333336</v>
      </c>
      <c r="N513">
        <f t="shared" si="217"/>
        <v>56.666666666666664</v>
      </c>
    </row>
    <row r="514" spans="1:14" ht="15" customHeight="1" x14ac:dyDescent="0.25">
      <c r="A514">
        <v>65</v>
      </c>
      <c r="B514" s="1">
        <v>43866</v>
      </c>
      <c r="C514" t="s">
        <v>161</v>
      </c>
      <c r="D514" t="s">
        <v>15</v>
      </c>
      <c r="F514" t="s">
        <v>63</v>
      </c>
      <c r="G514">
        <v>30</v>
      </c>
      <c r="H514">
        <v>240</v>
      </c>
      <c r="I514">
        <f t="shared" si="204"/>
        <v>7200</v>
      </c>
      <c r="J514" t="s">
        <v>163</v>
      </c>
      <c r="K514">
        <v>204</v>
      </c>
      <c r="M514">
        <f t="shared" ref="M514:M577" si="218">+K514*G514</f>
        <v>6120</v>
      </c>
      <c r="N514">
        <f t="shared" ref="N514:N577" si="219">+I514-M514</f>
        <v>1080</v>
      </c>
    </row>
    <row r="515" spans="1:14" ht="15" customHeight="1" x14ac:dyDescent="0.25">
      <c r="A515">
        <v>66</v>
      </c>
      <c r="B515" s="1">
        <v>43866</v>
      </c>
      <c r="C515" t="s">
        <v>161</v>
      </c>
      <c r="D515" t="s">
        <v>55</v>
      </c>
      <c r="F515" t="s">
        <v>89</v>
      </c>
      <c r="G515">
        <v>5</v>
      </c>
      <c r="H515">
        <v>290</v>
      </c>
      <c r="I515">
        <f t="shared" ref="I515:I578" si="220">+G515*H515</f>
        <v>1450</v>
      </c>
      <c r="J515" t="s">
        <v>13</v>
      </c>
      <c r="K515">
        <v>271</v>
      </c>
      <c r="M515">
        <f t="shared" si="218"/>
        <v>1355</v>
      </c>
      <c r="N515">
        <f t="shared" si="219"/>
        <v>95</v>
      </c>
    </row>
    <row r="516" spans="1:14" ht="15" customHeight="1" x14ac:dyDescent="0.25">
      <c r="A516">
        <v>67</v>
      </c>
      <c r="B516" s="1">
        <v>43866</v>
      </c>
      <c r="C516" t="s">
        <v>161</v>
      </c>
      <c r="D516" t="s">
        <v>56</v>
      </c>
      <c r="F516" t="s">
        <v>267</v>
      </c>
      <c r="G516">
        <v>1</v>
      </c>
      <c r="H516">
        <v>170</v>
      </c>
      <c r="I516">
        <f t="shared" si="220"/>
        <v>170</v>
      </c>
      <c r="J516" t="s">
        <v>163</v>
      </c>
      <c r="K516">
        <v>131</v>
      </c>
      <c r="M516">
        <f t="shared" si="218"/>
        <v>131</v>
      </c>
      <c r="N516">
        <f t="shared" si="219"/>
        <v>39</v>
      </c>
    </row>
    <row r="517" spans="1:14" ht="15" customHeight="1" x14ac:dyDescent="0.25">
      <c r="A517">
        <v>68</v>
      </c>
      <c r="B517" s="1">
        <v>43866</v>
      </c>
      <c r="C517" t="s">
        <v>161</v>
      </c>
      <c r="D517" t="s">
        <v>25</v>
      </c>
      <c r="F517" t="s">
        <v>128</v>
      </c>
      <c r="G517">
        <v>1</v>
      </c>
      <c r="H517">
        <v>60</v>
      </c>
      <c r="I517">
        <f t="shared" si="220"/>
        <v>60</v>
      </c>
      <c r="J517" t="s">
        <v>165</v>
      </c>
      <c r="K517">
        <f>380/12</f>
        <v>31.666666666666668</v>
      </c>
      <c r="M517">
        <f t="shared" si="218"/>
        <v>31.666666666666668</v>
      </c>
      <c r="N517">
        <f t="shared" si="219"/>
        <v>28.333333333333332</v>
      </c>
    </row>
    <row r="518" spans="1:14" ht="15" customHeight="1" x14ac:dyDescent="0.25">
      <c r="A518">
        <v>69</v>
      </c>
      <c r="B518" s="1">
        <v>43866</v>
      </c>
      <c r="C518" t="s">
        <v>161</v>
      </c>
      <c r="D518" t="s">
        <v>15</v>
      </c>
      <c r="F518" t="s">
        <v>28</v>
      </c>
      <c r="G518">
        <v>18</v>
      </c>
      <c r="H518">
        <v>230</v>
      </c>
      <c r="I518">
        <f t="shared" si="220"/>
        <v>4140</v>
      </c>
      <c r="J518" t="s">
        <v>163</v>
      </c>
      <c r="K518">
        <v>182</v>
      </c>
      <c r="M518">
        <f t="shared" si="218"/>
        <v>3276</v>
      </c>
      <c r="N518">
        <f t="shared" si="219"/>
        <v>864</v>
      </c>
    </row>
    <row r="519" spans="1:14" ht="15" customHeight="1" x14ac:dyDescent="0.25">
      <c r="A519">
        <v>70</v>
      </c>
      <c r="B519" s="1">
        <v>43866</v>
      </c>
      <c r="C519" t="s">
        <v>161</v>
      </c>
      <c r="D519" t="s">
        <v>56</v>
      </c>
      <c r="F519" t="s">
        <v>267</v>
      </c>
      <c r="G519">
        <v>5</v>
      </c>
      <c r="H519">
        <v>170</v>
      </c>
      <c r="I519">
        <f t="shared" si="220"/>
        <v>850</v>
      </c>
      <c r="J519" t="s">
        <v>163</v>
      </c>
      <c r="K519">
        <v>131</v>
      </c>
      <c r="M519">
        <f t="shared" si="218"/>
        <v>655</v>
      </c>
      <c r="N519">
        <f t="shared" si="219"/>
        <v>195</v>
      </c>
    </row>
    <row r="520" spans="1:14" ht="15" customHeight="1" x14ac:dyDescent="0.25">
      <c r="A520">
        <v>71</v>
      </c>
      <c r="B520" s="1">
        <v>43866</v>
      </c>
      <c r="C520" t="s">
        <v>161</v>
      </c>
      <c r="D520" t="s">
        <v>25</v>
      </c>
      <c r="F520" t="s">
        <v>156</v>
      </c>
      <c r="G520">
        <v>1</v>
      </c>
      <c r="H520">
        <v>60</v>
      </c>
      <c r="I520">
        <f t="shared" si="220"/>
        <v>60</v>
      </c>
      <c r="J520" t="s">
        <v>165</v>
      </c>
      <c r="K520">
        <f t="shared" ref="K520:K521" si="221">380/12</f>
        <v>31.666666666666668</v>
      </c>
      <c r="M520">
        <f t="shared" si="218"/>
        <v>31.666666666666668</v>
      </c>
      <c r="N520">
        <f t="shared" si="219"/>
        <v>28.333333333333332</v>
      </c>
    </row>
    <row r="521" spans="1:14" ht="15" customHeight="1" x14ac:dyDescent="0.25">
      <c r="A521">
        <v>72</v>
      </c>
      <c r="B521" s="1">
        <v>43866</v>
      </c>
      <c r="C521" t="s">
        <v>161</v>
      </c>
      <c r="D521" t="s">
        <v>25</v>
      </c>
      <c r="F521" t="s">
        <v>147</v>
      </c>
      <c r="G521">
        <v>2</v>
      </c>
      <c r="H521">
        <v>60</v>
      </c>
      <c r="I521">
        <f t="shared" si="220"/>
        <v>120</v>
      </c>
      <c r="J521" t="s">
        <v>165</v>
      </c>
      <c r="K521">
        <f t="shared" si="221"/>
        <v>31.666666666666668</v>
      </c>
      <c r="M521">
        <f t="shared" si="218"/>
        <v>63.333333333333336</v>
      </c>
      <c r="N521">
        <f t="shared" si="219"/>
        <v>56.666666666666664</v>
      </c>
    </row>
    <row r="522" spans="1:14" ht="15" customHeight="1" x14ac:dyDescent="0.25">
      <c r="A522">
        <v>73</v>
      </c>
      <c r="B522" s="1">
        <v>43866</v>
      </c>
      <c r="C522" t="s">
        <v>161</v>
      </c>
      <c r="D522" t="s">
        <v>15</v>
      </c>
      <c r="F522" t="s">
        <v>32</v>
      </c>
      <c r="G522">
        <v>7.22</v>
      </c>
      <c r="H522">
        <v>280</v>
      </c>
      <c r="I522">
        <f t="shared" si="220"/>
        <v>2021.6</v>
      </c>
      <c r="J522" t="s">
        <v>163</v>
      </c>
      <c r="K522">
        <v>214</v>
      </c>
      <c r="M522">
        <f t="shared" si="218"/>
        <v>1545.08</v>
      </c>
      <c r="N522">
        <f t="shared" si="219"/>
        <v>476.52</v>
      </c>
    </row>
    <row r="523" spans="1:14" ht="15" customHeight="1" x14ac:dyDescent="0.25">
      <c r="A523">
        <v>74</v>
      </c>
      <c r="B523" s="1">
        <v>43866</v>
      </c>
      <c r="C523" t="s">
        <v>161</v>
      </c>
      <c r="D523" t="s">
        <v>55</v>
      </c>
      <c r="F523" t="s">
        <v>97</v>
      </c>
      <c r="G523">
        <v>18</v>
      </c>
      <c r="H523">
        <v>280</v>
      </c>
      <c r="I523">
        <f t="shared" si="220"/>
        <v>5040</v>
      </c>
      <c r="J523" t="s">
        <v>13</v>
      </c>
      <c r="K523">
        <v>226</v>
      </c>
      <c r="M523">
        <f t="shared" si="218"/>
        <v>4068</v>
      </c>
      <c r="N523">
        <f t="shared" si="219"/>
        <v>972</v>
      </c>
    </row>
    <row r="524" spans="1:14" ht="15" customHeight="1" x14ac:dyDescent="0.25">
      <c r="A524">
        <v>75</v>
      </c>
      <c r="B524" s="1">
        <v>43866</v>
      </c>
      <c r="C524" t="s">
        <v>161</v>
      </c>
      <c r="D524" t="s">
        <v>56</v>
      </c>
      <c r="F524" t="s">
        <v>267</v>
      </c>
      <c r="G524">
        <v>8</v>
      </c>
      <c r="H524">
        <v>170</v>
      </c>
      <c r="I524">
        <f t="shared" si="220"/>
        <v>1360</v>
      </c>
      <c r="J524" t="s">
        <v>163</v>
      </c>
      <c r="K524">
        <v>131</v>
      </c>
      <c r="M524">
        <f t="shared" si="218"/>
        <v>1048</v>
      </c>
      <c r="N524">
        <f t="shared" si="219"/>
        <v>312</v>
      </c>
    </row>
    <row r="525" spans="1:14" ht="15" customHeight="1" x14ac:dyDescent="0.25">
      <c r="A525">
        <v>76</v>
      </c>
      <c r="B525" s="1">
        <v>43866</v>
      </c>
      <c r="C525" t="s">
        <v>161</v>
      </c>
      <c r="D525" t="s">
        <v>25</v>
      </c>
      <c r="F525" t="s">
        <v>137</v>
      </c>
      <c r="G525">
        <v>5</v>
      </c>
      <c r="H525">
        <v>60</v>
      </c>
      <c r="I525">
        <f t="shared" si="220"/>
        <v>300</v>
      </c>
      <c r="J525" t="s">
        <v>165</v>
      </c>
      <c r="K525">
        <f>380/12</f>
        <v>31.666666666666668</v>
      </c>
      <c r="M525">
        <f t="shared" si="218"/>
        <v>158.33333333333334</v>
      </c>
      <c r="N525">
        <f t="shared" si="219"/>
        <v>141.66666666666666</v>
      </c>
    </row>
    <row r="526" spans="1:14" ht="15" customHeight="1" x14ac:dyDescent="0.25">
      <c r="A526">
        <v>77</v>
      </c>
      <c r="B526" s="1">
        <v>43866</v>
      </c>
      <c r="C526" t="s">
        <v>161</v>
      </c>
      <c r="D526" t="s">
        <v>44</v>
      </c>
      <c r="F526" t="s">
        <v>138</v>
      </c>
      <c r="G526">
        <v>2</v>
      </c>
      <c r="H526">
        <v>35</v>
      </c>
      <c r="I526">
        <f t="shared" si="220"/>
        <v>70</v>
      </c>
      <c r="J526" t="s">
        <v>166</v>
      </c>
      <c r="K526">
        <v>22</v>
      </c>
      <c r="M526">
        <f t="shared" si="218"/>
        <v>44</v>
      </c>
      <c r="N526">
        <f t="shared" si="219"/>
        <v>26</v>
      </c>
    </row>
    <row r="527" spans="1:14" ht="15" customHeight="1" x14ac:dyDescent="0.25">
      <c r="A527">
        <v>78</v>
      </c>
      <c r="B527" s="1">
        <v>43866</v>
      </c>
      <c r="C527" t="s">
        <v>161</v>
      </c>
      <c r="D527" t="s">
        <v>24</v>
      </c>
      <c r="F527" t="s">
        <v>24</v>
      </c>
      <c r="G527">
        <v>3.2</v>
      </c>
      <c r="H527">
        <v>100</v>
      </c>
      <c r="I527">
        <f t="shared" si="220"/>
        <v>320</v>
      </c>
      <c r="J527" t="s">
        <v>186</v>
      </c>
      <c r="K527">
        <v>68.22</v>
      </c>
      <c r="M527">
        <f t="shared" si="218"/>
        <v>218.304</v>
      </c>
      <c r="N527">
        <f t="shared" si="219"/>
        <v>101.696</v>
      </c>
    </row>
    <row r="528" spans="1:14" ht="15" customHeight="1" x14ac:dyDescent="0.25">
      <c r="A528">
        <v>79</v>
      </c>
      <c r="B528" s="1">
        <v>43866</v>
      </c>
      <c r="C528" t="s">
        <v>161</v>
      </c>
      <c r="D528" t="s">
        <v>15</v>
      </c>
      <c r="F528" t="s">
        <v>29</v>
      </c>
      <c r="G528">
        <v>18</v>
      </c>
      <c r="H528">
        <v>230</v>
      </c>
      <c r="I528">
        <f t="shared" si="220"/>
        <v>4140</v>
      </c>
      <c r="J528" t="s">
        <v>163</v>
      </c>
      <c r="K528">
        <v>196</v>
      </c>
      <c r="M528">
        <f t="shared" si="218"/>
        <v>3528</v>
      </c>
      <c r="N528">
        <f t="shared" si="219"/>
        <v>612</v>
      </c>
    </row>
    <row r="529" spans="1:14" ht="15" customHeight="1" x14ac:dyDescent="0.25">
      <c r="A529">
        <v>80</v>
      </c>
      <c r="B529" s="1">
        <v>43866</v>
      </c>
      <c r="C529" t="s">
        <v>161</v>
      </c>
      <c r="D529" t="s">
        <v>56</v>
      </c>
      <c r="F529" t="s">
        <v>267</v>
      </c>
      <c r="G529">
        <v>5</v>
      </c>
      <c r="H529">
        <v>170</v>
      </c>
      <c r="I529">
        <f t="shared" si="220"/>
        <v>850</v>
      </c>
      <c r="J529" t="s">
        <v>163</v>
      </c>
      <c r="K529">
        <v>131</v>
      </c>
      <c r="M529">
        <f t="shared" si="218"/>
        <v>655</v>
      </c>
      <c r="N529">
        <f t="shared" si="219"/>
        <v>195</v>
      </c>
    </row>
    <row r="530" spans="1:14" ht="15" customHeight="1" x14ac:dyDescent="0.25">
      <c r="A530">
        <v>81</v>
      </c>
      <c r="B530" s="1">
        <v>43866</v>
      </c>
      <c r="C530" t="s">
        <v>161</v>
      </c>
      <c r="D530" t="s">
        <v>15</v>
      </c>
      <c r="F530" t="s">
        <v>204</v>
      </c>
      <c r="G530">
        <v>27</v>
      </c>
      <c r="H530">
        <v>290</v>
      </c>
      <c r="I530">
        <f t="shared" si="220"/>
        <v>7830</v>
      </c>
      <c r="J530" t="s">
        <v>163</v>
      </c>
      <c r="K530">
        <v>270</v>
      </c>
      <c r="M530">
        <f t="shared" si="218"/>
        <v>7290</v>
      </c>
      <c r="N530">
        <f t="shared" si="219"/>
        <v>540</v>
      </c>
    </row>
    <row r="531" spans="1:14" ht="15" customHeight="1" x14ac:dyDescent="0.25">
      <c r="A531">
        <v>82</v>
      </c>
      <c r="B531" s="1">
        <v>43866</v>
      </c>
      <c r="C531" t="s">
        <v>161</v>
      </c>
      <c r="D531" t="s">
        <v>15</v>
      </c>
      <c r="F531" t="s">
        <v>15</v>
      </c>
      <c r="G531">
        <f>2/10</f>
        <v>0.2</v>
      </c>
      <c r="H531">
        <v>240</v>
      </c>
      <c r="I531">
        <f t="shared" si="220"/>
        <v>48</v>
      </c>
      <c r="J531" t="s">
        <v>163</v>
      </c>
      <c r="K531">
        <v>180</v>
      </c>
      <c r="M531">
        <f t="shared" si="218"/>
        <v>36</v>
      </c>
      <c r="N531">
        <f t="shared" si="219"/>
        <v>12</v>
      </c>
    </row>
    <row r="532" spans="1:14" ht="15" customHeight="1" x14ac:dyDescent="0.25">
      <c r="A532">
        <v>83</v>
      </c>
      <c r="B532" s="1">
        <v>43866</v>
      </c>
      <c r="C532" t="s">
        <v>161</v>
      </c>
      <c r="D532" t="s">
        <v>25</v>
      </c>
      <c r="F532" t="s">
        <v>203</v>
      </c>
      <c r="G532">
        <v>2</v>
      </c>
      <c r="H532">
        <v>100</v>
      </c>
      <c r="I532">
        <f t="shared" si="220"/>
        <v>200</v>
      </c>
      <c r="J532" t="s">
        <v>163</v>
      </c>
      <c r="K532">
        <v>76</v>
      </c>
      <c r="M532">
        <f t="shared" si="218"/>
        <v>152</v>
      </c>
      <c r="N532">
        <f t="shared" si="219"/>
        <v>48</v>
      </c>
    </row>
    <row r="533" spans="1:14" ht="15" customHeight="1" x14ac:dyDescent="0.25">
      <c r="A533">
        <v>84</v>
      </c>
      <c r="B533" s="1">
        <v>43866</v>
      </c>
      <c r="C533" t="s">
        <v>161</v>
      </c>
      <c r="D533" t="s">
        <v>25</v>
      </c>
      <c r="F533" t="s">
        <v>127</v>
      </c>
      <c r="G533">
        <v>1</v>
      </c>
      <c r="H533">
        <v>60</v>
      </c>
      <c r="I533">
        <f t="shared" si="220"/>
        <v>60</v>
      </c>
      <c r="J533" t="s">
        <v>165</v>
      </c>
      <c r="K533">
        <f>380/12</f>
        <v>31.666666666666668</v>
      </c>
      <c r="M533">
        <f t="shared" si="218"/>
        <v>31.666666666666668</v>
      </c>
      <c r="N533">
        <f t="shared" si="219"/>
        <v>28.333333333333332</v>
      </c>
    </row>
    <row r="534" spans="1:14" ht="15" customHeight="1" x14ac:dyDescent="0.25">
      <c r="A534">
        <v>85</v>
      </c>
      <c r="B534" s="1">
        <v>43866</v>
      </c>
      <c r="C534" t="s">
        <v>161</v>
      </c>
      <c r="D534" t="s">
        <v>15</v>
      </c>
      <c r="F534" t="s">
        <v>153</v>
      </c>
      <c r="G534">
        <v>1.53</v>
      </c>
      <c r="H534">
        <v>240</v>
      </c>
      <c r="I534">
        <f t="shared" si="220"/>
        <v>367.2</v>
      </c>
      <c r="J534" t="s">
        <v>163</v>
      </c>
      <c r="K534">
        <v>194</v>
      </c>
      <c r="M534">
        <f t="shared" si="218"/>
        <v>296.82</v>
      </c>
      <c r="N534">
        <f t="shared" si="219"/>
        <v>70.38</v>
      </c>
    </row>
    <row r="535" spans="1:14" ht="15" customHeight="1" x14ac:dyDescent="0.25">
      <c r="A535">
        <v>86</v>
      </c>
      <c r="B535" s="1">
        <v>43866</v>
      </c>
      <c r="C535" t="s">
        <v>161</v>
      </c>
      <c r="D535" t="s">
        <v>26</v>
      </c>
      <c r="F535" t="s">
        <v>47</v>
      </c>
      <c r="G535">
        <v>2.63</v>
      </c>
      <c r="H535">
        <v>380</v>
      </c>
      <c r="I535">
        <f t="shared" si="220"/>
        <v>999.4</v>
      </c>
      <c r="J535" t="s">
        <v>99</v>
      </c>
      <c r="K535">
        <v>302</v>
      </c>
      <c r="M535">
        <f t="shared" si="218"/>
        <v>794.26</v>
      </c>
      <c r="N535">
        <f t="shared" si="219"/>
        <v>205.14</v>
      </c>
    </row>
    <row r="536" spans="1:14" ht="15" customHeight="1" x14ac:dyDescent="0.25">
      <c r="A536">
        <v>87</v>
      </c>
      <c r="B536" s="1">
        <v>43867</v>
      </c>
      <c r="C536" t="s">
        <v>161</v>
      </c>
      <c r="D536" t="s">
        <v>15</v>
      </c>
      <c r="F536" t="s">
        <v>29</v>
      </c>
      <c r="G536">
        <f>3/9</f>
        <v>0.33333333333333331</v>
      </c>
      <c r="H536">
        <v>230</v>
      </c>
      <c r="I536">
        <f t="shared" si="220"/>
        <v>76.666666666666657</v>
      </c>
      <c r="J536" t="s">
        <v>163</v>
      </c>
      <c r="K536">
        <v>196</v>
      </c>
      <c r="M536">
        <f t="shared" si="218"/>
        <v>65.333333333333329</v>
      </c>
      <c r="N536">
        <f t="shared" si="219"/>
        <v>11.333333333333329</v>
      </c>
    </row>
    <row r="537" spans="1:14" ht="15" customHeight="1" x14ac:dyDescent="0.25">
      <c r="A537">
        <v>88</v>
      </c>
      <c r="B537" s="1">
        <v>43867</v>
      </c>
      <c r="C537" t="s">
        <v>161</v>
      </c>
      <c r="D537" t="s">
        <v>55</v>
      </c>
      <c r="F537" t="s">
        <v>22</v>
      </c>
      <c r="G537">
        <v>2</v>
      </c>
      <c r="H537">
        <v>290</v>
      </c>
      <c r="I537">
        <f t="shared" si="220"/>
        <v>580</v>
      </c>
      <c r="J537" t="s">
        <v>13</v>
      </c>
      <c r="K537">
        <v>271</v>
      </c>
      <c r="M537">
        <f t="shared" si="218"/>
        <v>542</v>
      </c>
      <c r="N537">
        <f t="shared" si="219"/>
        <v>38</v>
      </c>
    </row>
    <row r="538" spans="1:14" ht="15" customHeight="1" x14ac:dyDescent="0.25">
      <c r="A538">
        <v>89</v>
      </c>
      <c r="B538" s="1">
        <v>43867</v>
      </c>
      <c r="C538" t="s">
        <v>161</v>
      </c>
      <c r="D538" t="s">
        <v>15</v>
      </c>
      <c r="F538" t="s">
        <v>54</v>
      </c>
      <c r="G538">
        <v>1.5</v>
      </c>
      <c r="H538">
        <v>240</v>
      </c>
      <c r="I538">
        <f t="shared" si="220"/>
        <v>360</v>
      </c>
      <c r="J538" t="s">
        <v>163</v>
      </c>
      <c r="K538">
        <v>212</v>
      </c>
      <c r="M538">
        <f t="shared" si="218"/>
        <v>318</v>
      </c>
      <c r="N538">
        <f t="shared" si="219"/>
        <v>42</v>
      </c>
    </row>
    <row r="539" spans="1:14" ht="15" customHeight="1" x14ac:dyDescent="0.25">
      <c r="A539">
        <v>90</v>
      </c>
      <c r="B539" s="1">
        <v>43867</v>
      </c>
      <c r="C539" t="s">
        <v>161</v>
      </c>
      <c r="D539" t="s">
        <v>15</v>
      </c>
      <c r="F539" t="s">
        <v>29</v>
      </c>
      <c r="G539">
        <f>12/9</f>
        <v>1.3333333333333333</v>
      </c>
      <c r="H539">
        <v>230</v>
      </c>
      <c r="I539">
        <f t="shared" si="220"/>
        <v>306.66666666666663</v>
      </c>
      <c r="J539" t="s">
        <v>163</v>
      </c>
      <c r="K539">
        <v>196</v>
      </c>
      <c r="M539">
        <f t="shared" si="218"/>
        <v>261.33333333333331</v>
      </c>
      <c r="N539">
        <f t="shared" si="219"/>
        <v>45.333333333333314</v>
      </c>
    </row>
    <row r="540" spans="1:14" ht="15" customHeight="1" x14ac:dyDescent="0.25">
      <c r="A540">
        <v>91</v>
      </c>
      <c r="B540" s="1">
        <v>43867</v>
      </c>
      <c r="C540" t="s">
        <v>161</v>
      </c>
      <c r="D540" t="s">
        <v>55</v>
      </c>
      <c r="F540" t="s">
        <v>89</v>
      </c>
      <c r="G540">
        <f>10/17</f>
        <v>0.58823529411764708</v>
      </c>
      <c r="H540">
        <v>290</v>
      </c>
      <c r="I540">
        <f t="shared" si="220"/>
        <v>170.58823529411765</v>
      </c>
      <c r="J540" t="s">
        <v>13</v>
      </c>
      <c r="K540">
        <v>271</v>
      </c>
      <c r="M540">
        <f t="shared" si="218"/>
        <v>159.41176470588235</v>
      </c>
      <c r="N540">
        <f t="shared" si="219"/>
        <v>11.176470588235304</v>
      </c>
    </row>
    <row r="541" spans="1:14" ht="15" customHeight="1" x14ac:dyDescent="0.25">
      <c r="A541">
        <v>92</v>
      </c>
      <c r="B541" s="1">
        <v>43867</v>
      </c>
      <c r="C541" t="s">
        <v>161</v>
      </c>
      <c r="D541" t="s">
        <v>15</v>
      </c>
      <c r="F541" t="s">
        <v>54</v>
      </c>
      <c r="G541">
        <v>2.31</v>
      </c>
      <c r="H541">
        <v>240</v>
      </c>
      <c r="I541">
        <f t="shared" si="220"/>
        <v>554.4</v>
      </c>
      <c r="J541" t="s">
        <v>163</v>
      </c>
      <c r="K541">
        <v>212</v>
      </c>
      <c r="M541">
        <f t="shared" si="218"/>
        <v>489.72</v>
      </c>
      <c r="N541">
        <f t="shared" si="219"/>
        <v>64.67999999999995</v>
      </c>
    </row>
    <row r="542" spans="1:14" ht="15" customHeight="1" x14ac:dyDescent="0.25">
      <c r="A542">
        <v>93</v>
      </c>
      <c r="B542" s="1">
        <v>43867</v>
      </c>
      <c r="C542" t="s">
        <v>161</v>
      </c>
      <c r="D542" t="s">
        <v>15</v>
      </c>
      <c r="F542" t="s">
        <v>29</v>
      </c>
      <c r="G542">
        <v>3</v>
      </c>
      <c r="H542">
        <v>230</v>
      </c>
      <c r="I542">
        <f t="shared" si="220"/>
        <v>690</v>
      </c>
      <c r="J542" t="s">
        <v>163</v>
      </c>
      <c r="K542">
        <v>196</v>
      </c>
      <c r="M542">
        <f t="shared" si="218"/>
        <v>588</v>
      </c>
      <c r="N542">
        <f t="shared" si="219"/>
        <v>102</v>
      </c>
    </row>
    <row r="543" spans="1:14" ht="15" customHeight="1" x14ac:dyDescent="0.25">
      <c r="A543">
        <v>94</v>
      </c>
      <c r="B543" s="1">
        <v>43867</v>
      </c>
      <c r="C543" t="s">
        <v>161</v>
      </c>
      <c r="D543" t="s">
        <v>55</v>
      </c>
      <c r="F543" t="s">
        <v>155</v>
      </c>
      <c r="G543">
        <v>3</v>
      </c>
      <c r="H543">
        <v>290</v>
      </c>
      <c r="I543">
        <f t="shared" si="220"/>
        <v>870</v>
      </c>
      <c r="J543" t="s">
        <v>13</v>
      </c>
      <c r="K543">
        <v>271</v>
      </c>
      <c r="M543">
        <f t="shared" si="218"/>
        <v>813</v>
      </c>
      <c r="N543">
        <f t="shared" si="219"/>
        <v>57</v>
      </c>
    </row>
    <row r="544" spans="1:14" ht="15" customHeight="1" x14ac:dyDescent="0.25">
      <c r="A544">
        <v>95</v>
      </c>
      <c r="B544" s="1">
        <v>43867</v>
      </c>
      <c r="C544" t="s">
        <v>161</v>
      </c>
      <c r="D544" t="s">
        <v>23</v>
      </c>
      <c r="F544" t="s">
        <v>205</v>
      </c>
      <c r="G544">
        <v>2</v>
      </c>
      <c r="H544">
        <f>816/2</f>
        <v>408</v>
      </c>
      <c r="I544">
        <f t="shared" si="220"/>
        <v>816</v>
      </c>
      <c r="J544" t="s">
        <v>23</v>
      </c>
      <c r="K544">
        <v>380</v>
      </c>
      <c r="M544">
        <f t="shared" si="218"/>
        <v>760</v>
      </c>
      <c r="N544">
        <f t="shared" si="219"/>
        <v>56</v>
      </c>
    </row>
    <row r="545" spans="1:14" ht="15" customHeight="1" x14ac:dyDescent="0.25">
      <c r="A545">
        <v>96</v>
      </c>
      <c r="B545" s="1">
        <v>43867</v>
      </c>
      <c r="C545" t="s">
        <v>161</v>
      </c>
      <c r="D545" t="s">
        <v>23</v>
      </c>
      <c r="F545" t="s">
        <v>206</v>
      </c>
      <c r="G545">
        <v>8</v>
      </c>
      <c r="H545">
        <v>50</v>
      </c>
      <c r="I545">
        <f t="shared" si="220"/>
        <v>400</v>
      </c>
      <c r="J545" t="s">
        <v>23</v>
      </c>
      <c r="K545">
        <v>0</v>
      </c>
      <c r="M545">
        <f t="shared" si="218"/>
        <v>0</v>
      </c>
      <c r="N545">
        <f t="shared" si="219"/>
        <v>400</v>
      </c>
    </row>
    <row r="546" spans="1:14" ht="15" customHeight="1" x14ac:dyDescent="0.25">
      <c r="A546">
        <v>97</v>
      </c>
      <c r="B546" s="1">
        <v>43867</v>
      </c>
      <c r="C546" t="s">
        <v>161</v>
      </c>
      <c r="D546" t="s">
        <v>23</v>
      </c>
      <c r="F546" t="s">
        <v>206</v>
      </c>
      <c r="G546">
        <v>4</v>
      </c>
      <c r="H546">
        <v>50</v>
      </c>
      <c r="I546">
        <f t="shared" si="220"/>
        <v>200</v>
      </c>
      <c r="J546" t="s">
        <v>23</v>
      </c>
      <c r="K546">
        <v>0</v>
      </c>
      <c r="M546">
        <f t="shared" si="218"/>
        <v>0</v>
      </c>
      <c r="N546">
        <f t="shared" si="219"/>
        <v>200</v>
      </c>
    </row>
    <row r="547" spans="1:14" ht="15" customHeight="1" x14ac:dyDescent="0.25">
      <c r="A547">
        <v>98</v>
      </c>
      <c r="B547" s="1">
        <v>43868</v>
      </c>
      <c r="C547" t="s">
        <v>161</v>
      </c>
      <c r="D547" t="s">
        <v>78</v>
      </c>
      <c r="F547" t="s">
        <v>42</v>
      </c>
      <c r="G547">
        <v>1</v>
      </c>
      <c r="H547">
        <v>720</v>
      </c>
      <c r="I547">
        <f t="shared" si="220"/>
        <v>720</v>
      </c>
      <c r="J547" t="s">
        <v>166</v>
      </c>
      <c r="K547">
        <v>517</v>
      </c>
      <c r="M547">
        <f t="shared" si="218"/>
        <v>517</v>
      </c>
      <c r="N547">
        <f t="shared" si="219"/>
        <v>203</v>
      </c>
    </row>
    <row r="548" spans="1:14" ht="15" customHeight="1" x14ac:dyDescent="0.25">
      <c r="A548">
        <v>99</v>
      </c>
      <c r="B548" s="1">
        <v>43868</v>
      </c>
      <c r="C548" t="s">
        <v>161</v>
      </c>
      <c r="D548" t="s">
        <v>78</v>
      </c>
      <c r="F548" t="s">
        <v>207</v>
      </c>
      <c r="G548">
        <v>1</v>
      </c>
      <c r="H548">
        <v>1000</v>
      </c>
      <c r="I548">
        <f t="shared" si="220"/>
        <v>1000</v>
      </c>
      <c r="J548" t="s">
        <v>198</v>
      </c>
      <c r="K548">
        <v>750</v>
      </c>
      <c r="M548">
        <f t="shared" si="218"/>
        <v>750</v>
      </c>
      <c r="N548">
        <f>+I548-M548</f>
        <v>250</v>
      </c>
    </row>
    <row r="549" spans="1:14" ht="15" customHeight="1" x14ac:dyDescent="0.25">
      <c r="A549">
        <v>100</v>
      </c>
      <c r="B549" s="1">
        <v>43868</v>
      </c>
      <c r="C549" t="s">
        <v>161</v>
      </c>
      <c r="D549" t="s">
        <v>15</v>
      </c>
      <c r="F549" t="s">
        <v>153</v>
      </c>
      <c r="G549">
        <v>16</v>
      </c>
      <c r="H549">
        <v>240</v>
      </c>
      <c r="I549">
        <f t="shared" si="220"/>
        <v>3840</v>
      </c>
      <c r="J549" t="s">
        <v>163</v>
      </c>
      <c r="K549">
        <v>194</v>
      </c>
      <c r="M549">
        <f t="shared" si="218"/>
        <v>3104</v>
      </c>
      <c r="N549">
        <f t="shared" si="219"/>
        <v>736</v>
      </c>
    </row>
    <row r="550" spans="1:14" ht="15" customHeight="1" x14ac:dyDescent="0.25">
      <c r="A550">
        <v>101</v>
      </c>
      <c r="B550" s="1">
        <v>43868</v>
      </c>
      <c r="C550" t="s">
        <v>161</v>
      </c>
      <c r="D550" t="s">
        <v>15</v>
      </c>
      <c r="F550" t="s">
        <v>52</v>
      </c>
      <c r="G550">
        <v>24</v>
      </c>
      <c r="H550">
        <v>240</v>
      </c>
      <c r="I550">
        <f t="shared" si="220"/>
        <v>5760</v>
      </c>
      <c r="J550" t="s">
        <v>163</v>
      </c>
      <c r="K550">
        <v>200</v>
      </c>
      <c r="M550">
        <f t="shared" si="218"/>
        <v>4800</v>
      </c>
      <c r="N550">
        <f t="shared" si="219"/>
        <v>960</v>
      </c>
    </row>
    <row r="551" spans="1:14" ht="15" customHeight="1" x14ac:dyDescent="0.25">
      <c r="A551">
        <v>102</v>
      </c>
      <c r="B551" s="1">
        <v>43868</v>
      </c>
      <c r="C551" t="s">
        <v>161</v>
      </c>
      <c r="D551" t="s">
        <v>56</v>
      </c>
      <c r="F551" t="s">
        <v>267</v>
      </c>
      <c r="G551">
        <v>4</v>
      </c>
      <c r="H551">
        <v>170</v>
      </c>
      <c r="I551">
        <f t="shared" si="220"/>
        <v>680</v>
      </c>
      <c r="J551" t="s">
        <v>163</v>
      </c>
      <c r="K551">
        <v>131</v>
      </c>
      <c r="M551">
        <f t="shared" si="218"/>
        <v>524</v>
      </c>
      <c r="N551">
        <f t="shared" si="219"/>
        <v>156</v>
      </c>
    </row>
    <row r="552" spans="1:14" ht="15" customHeight="1" x14ac:dyDescent="0.25">
      <c r="A552">
        <v>103</v>
      </c>
      <c r="B552" s="1">
        <v>43868</v>
      </c>
      <c r="C552" t="s">
        <v>161</v>
      </c>
      <c r="D552" t="s">
        <v>25</v>
      </c>
      <c r="F552" t="s">
        <v>130</v>
      </c>
      <c r="G552">
        <v>2</v>
      </c>
      <c r="H552">
        <v>60</v>
      </c>
      <c r="I552">
        <f t="shared" si="220"/>
        <v>120</v>
      </c>
      <c r="J552" t="s">
        <v>165</v>
      </c>
      <c r="K552">
        <f>380/12</f>
        <v>31.666666666666668</v>
      </c>
      <c r="M552">
        <f t="shared" si="218"/>
        <v>63.333333333333336</v>
      </c>
      <c r="N552">
        <f t="shared" si="219"/>
        <v>56.666666666666664</v>
      </c>
    </row>
    <row r="553" spans="1:14" ht="15" customHeight="1" x14ac:dyDescent="0.25">
      <c r="A553">
        <v>104</v>
      </c>
      <c r="B553" s="1">
        <v>43868</v>
      </c>
      <c r="C553" t="s">
        <v>161</v>
      </c>
      <c r="D553" t="s">
        <v>15</v>
      </c>
      <c r="F553" t="s">
        <v>28</v>
      </c>
      <c r="G553">
        <v>12</v>
      </c>
      <c r="H553">
        <v>230</v>
      </c>
      <c r="I553">
        <f t="shared" si="220"/>
        <v>2760</v>
      </c>
      <c r="J553" t="s">
        <v>163</v>
      </c>
      <c r="K553">
        <v>182</v>
      </c>
      <c r="M553">
        <f t="shared" si="218"/>
        <v>2184</v>
      </c>
      <c r="N553">
        <f t="shared" si="219"/>
        <v>576</v>
      </c>
    </row>
    <row r="554" spans="1:14" ht="15" customHeight="1" x14ac:dyDescent="0.25">
      <c r="A554">
        <v>105</v>
      </c>
      <c r="B554" s="1">
        <v>43868</v>
      </c>
      <c r="C554" t="s">
        <v>161</v>
      </c>
      <c r="D554" t="s">
        <v>56</v>
      </c>
      <c r="F554" t="s">
        <v>38</v>
      </c>
      <c r="G554">
        <v>4</v>
      </c>
      <c r="H554">
        <v>110</v>
      </c>
      <c r="I554">
        <f t="shared" si="220"/>
        <v>440</v>
      </c>
      <c r="J554" t="s">
        <v>164</v>
      </c>
      <c r="K554">
        <v>70</v>
      </c>
      <c r="M554">
        <f t="shared" si="218"/>
        <v>280</v>
      </c>
      <c r="N554">
        <f t="shared" si="219"/>
        <v>160</v>
      </c>
    </row>
    <row r="555" spans="1:14" ht="15" customHeight="1" x14ac:dyDescent="0.25">
      <c r="A555">
        <v>106</v>
      </c>
      <c r="B555" s="1">
        <v>43868</v>
      </c>
      <c r="C555" t="s">
        <v>161</v>
      </c>
      <c r="D555" t="s">
        <v>44</v>
      </c>
      <c r="F555" t="s">
        <v>133</v>
      </c>
      <c r="G555">
        <v>1</v>
      </c>
      <c r="H555">
        <v>35</v>
      </c>
      <c r="I555">
        <f t="shared" si="220"/>
        <v>35</v>
      </c>
      <c r="J555" t="s">
        <v>166</v>
      </c>
      <c r="K555">
        <v>22</v>
      </c>
      <c r="M555">
        <f t="shared" si="218"/>
        <v>22</v>
      </c>
      <c r="N555">
        <f t="shared" si="219"/>
        <v>13</v>
      </c>
    </row>
    <row r="556" spans="1:14" ht="15" customHeight="1" x14ac:dyDescent="0.25">
      <c r="A556">
        <v>107</v>
      </c>
      <c r="B556" s="1">
        <v>43868</v>
      </c>
      <c r="C556" t="s">
        <v>161</v>
      </c>
      <c r="D556" t="s">
        <v>25</v>
      </c>
      <c r="F556" t="s">
        <v>147</v>
      </c>
      <c r="G556">
        <v>2</v>
      </c>
      <c r="H556">
        <v>60</v>
      </c>
      <c r="I556">
        <f t="shared" si="220"/>
        <v>120</v>
      </c>
      <c r="J556" t="s">
        <v>165</v>
      </c>
      <c r="K556">
        <f>380/12</f>
        <v>31.666666666666668</v>
      </c>
      <c r="M556">
        <f t="shared" si="218"/>
        <v>63.333333333333336</v>
      </c>
      <c r="N556">
        <f t="shared" si="219"/>
        <v>56.666666666666664</v>
      </c>
    </row>
    <row r="557" spans="1:14" ht="15" customHeight="1" x14ac:dyDescent="0.25">
      <c r="A557">
        <v>108</v>
      </c>
      <c r="B557" s="1">
        <v>43868</v>
      </c>
      <c r="C557" t="s">
        <v>161</v>
      </c>
      <c r="D557" t="s">
        <v>15</v>
      </c>
      <c r="F557" t="s">
        <v>29</v>
      </c>
      <c r="G557">
        <v>1</v>
      </c>
      <c r="H557">
        <v>230</v>
      </c>
      <c r="I557">
        <f t="shared" si="220"/>
        <v>230</v>
      </c>
      <c r="J557" t="s">
        <v>163</v>
      </c>
      <c r="K557">
        <v>196</v>
      </c>
      <c r="M557">
        <f t="shared" si="218"/>
        <v>196</v>
      </c>
      <c r="N557">
        <f t="shared" si="219"/>
        <v>34</v>
      </c>
    </row>
    <row r="558" spans="1:14" ht="15" customHeight="1" x14ac:dyDescent="0.25">
      <c r="A558">
        <v>109</v>
      </c>
      <c r="B558" s="1">
        <v>43868</v>
      </c>
      <c r="C558" t="s">
        <v>161</v>
      </c>
      <c r="D558" t="s">
        <v>56</v>
      </c>
      <c r="F558" t="s">
        <v>267</v>
      </c>
      <c r="G558">
        <v>1</v>
      </c>
      <c r="H558">
        <v>170</v>
      </c>
      <c r="I558">
        <f t="shared" si="220"/>
        <v>170</v>
      </c>
      <c r="J558" t="s">
        <v>163</v>
      </c>
      <c r="K558">
        <v>131</v>
      </c>
      <c r="M558">
        <f t="shared" si="218"/>
        <v>131</v>
      </c>
      <c r="N558">
        <f t="shared" si="219"/>
        <v>39</v>
      </c>
    </row>
    <row r="559" spans="1:14" ht="15" customHeight="1" x14ac:dyDescent="0.25">
      <c r="A559">
        <v>110</v>
      </c>
      <c r="B559" s="1">
        <v>43868</v>
      </c>
      <c r="C559" t="s">
        <v>161</v>
      </c>
      <c r="D559" t="s">
        <v>25</v>
      </c>
      <c r="F559" t="s">
        <v>172</v>
      </c>
      <c r="G559">
        <v>2</v>
      </c>
      <c r="H559">
        <v>100</v>
      </c>
      <c r="I559">
        <f t="shared" si="220"/>
        <v>200</v>
      </c>
      <c r="J559" t="s">
        <v>163</v>
      </c>
      <c r="K559">
        <v>76</v>
      </c>
      <c r="M559">
        <f t="shared" si="218"/>
        <v>152</v>
      </c>
      <c r="N559">
        <f t="shared" si="219"/>
        <v>48</v>
      </c>
    </row>
    <row r="560" spans="1:14" ht="15" customHeight="1" x14ac:dyDescent="0.25">
      <c r="A560">
        <v>111</v>
      </c>
      <c r="B560" s="1">
        <v>43868</v>
      </c>
      <c r="C560" t="s">
        <v>161</v>
      </c>
      <c r="D560" t="s">
        <v>24</v>
      </c>
      <c r="F560" t="s">
        <v>24</v>
      </c>
      <c r="G560">
        <v>3.2</v>
      </c>
      <c r="H560">
        <v>100</v>
      </c>
      <c r="I560">
        <f t="shared" si="220"/>
        <v>320</v>
      </c>
      <c r="J560" t="s">
        <v>186</v>
      </c>
      <c r="K560">
        <v>68.22</v>
      </c>
      <c r="M560">
        <f t="shared" ref="M560" si="222">+K560*G560</f>
        <v>218.304</v>
      </c>
      <c r="N560">
        <f t="shared" ref="N560" si="223">+I560-M560</f>
        <v>101.696</v>
      </c>
    </row>
    <row r="561" spans="1:14" ht="15" customHeight="1" x14ac:dyDescent="0.25">
      <c r="A561">
        <v>112</v>
      </c>
      <c r="B561" s="1">
        <v>43868</v>
      </c>
      <c r="C561" t="s">
        <v>161</v>
      </c>
      <c r="D561" t="s">
        <v>55</v>
      </c>
      <c r="F561" t="s">
        <v>94</v>
      </c>
      <c r="G561">
        <v>1</v>
      </c>
      <c r="H561">
        <v>290</v>
      </c>
      <c r="I561">
        <f t="shared" si="220"/>
        <v>290</v>
      </c>
      <c r="J561" t="s">
        <v>13</v>
      </c>
      <c r="K561">
        <v>271</v>
      </c>
      <c r="M561">
        <f t="shared" si="218"/>
        <v>271</v>
      </c>
      <c r="N561">
        <f t="shared" si="219"/>
        <v>19</v>
      </c>
    </row>
    <row r="562" spans="1:14" ht="15" customHeight="1" x14ac:dyDescent="0.25">
      <c r="A562">
        <v>113</v>
      </c>
      <c r="B562" s="1">
        <v>43868</v>
      </c>
      <c r="C562" t="s">
        <v>161</v>
      </c>
      <c r="D562" t="s">
        <v>15</v>
      </c>
      <c r="F562" t="s">
        <v>20</v>
      </c>
      <c r="G562">
        <v>28</v>
      </c>
      <c r="H562">
        <v>240</v>
      </c>
      <c r="I562">
        <f t="shared" si="220"/>
        <v>6720</v>
      </c>
      <c r="J562" t="s">
        <v>163</v>
      </c>
      <c r="K562">
        <v>216</v>
      </c>
      <c r="M562">
        <f t="shared" si="218"/>
        <v>6048</v>
      </c>
      <c r="N562">
        <f t="shared" si="219"/>
        <v>672</v>
      </c>
    </row>
    <row r="563" spans="1:14" ht="15" customHeight="1" x14ac:dyDescent="0.25">
      <c r="A563">
        <v>114</v>
      </c>
      <c r="B563" s="1">
        <v>43868</v>
      </c>
      <c r="C563" t="s">
        <v>161</v>
      </c>
      <c r="D563" t="s">
        <v>68</v>
      </c>
      <c r="F563" t="s">
        <v>208</v>
      </c>
      <c r="G563">
        <v>2</v>
      </c>
      <c r="H563">
        <v>50</v>
      </c>
      <c r="I563">
        <f t="shared" si="220"/>
        <v>100</v>
      </c>
      <c r="J563" t="s">
        <v>395</v>
      </c>
      <c r="K563">
        <v>40</v>
      </c>
      <c r="M563">
        <f t="shared" si="218"/>
        <v>80</v>
      </c>
      <c r="N563">
        <f>+I563-M563</f>
        <v>20</v>
      </c>
    </row>
    <row r="564" spans="1:14" ht="15" customHeight="1" x14ac:dyDescent="0.25">
      <c r="A564">
        <v>115</v>
      </c>
      <c r="B564" s="1">
        <v>43868</v>
      </c>
      <c r="C564" t="s">
        <v>161</v>
      </c>
      <c r="D564" t="s">
        <v>15</v>
      </c>
      <c r="F564" t="s">
        <v>20</v>
      </c>
      <c r="G564">
        <v>4</v>
      </c>
      <c r="H564">
        <v>240</v>
      </c>
      <c r="I564">
        <f t="shared" si="220"/>
        <v>960</v>
      </c>
      <c r="J564" t="s">
        <v>163</v>
      </c>
      <c r="K564">
        <v>216</v>
      </c>
      <c r="M564">
        <f t="shared" si="218"/>
        <v>864</v>
      </c>
      <c r="N564">
        <f t="shared" si="219"/>
        <v>96</v>
      </c>
    </row>
    <row r="565" spans="1:14" ht="15" customHeight="1" x14ac:dyDescent="0.25">
      <c r="A565">
        <v>116</v>
      </c>
      <c r="B565" s="1">
        <v>43868</v>
      </c>
      <c r="C565" t="s">
        <v>161</v>
      </c>
      <c r="D565" t="s">
        <v>15</v>
      </c>
      <c r="F565" t="s">
        <v>63</v>
      </c>
      <c r="G565">
        <v>8</v>
      </c>
      <c r="H565">
        <v>240</v>
      </c>
      <c r="I565">
        <f t="shared" si="220"/>
        <v>1920</v>
      </c>
      <c r="J565" t="s">
        <v>163</v>
      </c>
      <c r="K565">
        <v>204</v>
      </c>
      <c r="M565">
        <f t="shared" si="218"/>
        <v>1632</v>
      </c>
      <c r="N565">
        <f t="shared" si="219"/>
        <v>288</v>
      </c>
    </row>
    <row r="566" spans="1:14" ht="15" customHeight="1" x14ac:dyDescent="0.25">
      <c r="A566">
        <v>117</v>
      </c>
      <c r="B566" s="1">
        <v>43868</v>
      </c>
      <c r="C566" t="s">
        <v>161</v>
      </c>
      <c r="D566" t="s">
        <v>23</v>
      </c>
      <c r="F566" t="s">
        <v>43</v>
      </c>
      <c r="G566">
        <v>2</v>
      </c>
      <c r="H566">
        <v>60</v>
      </c>
      <c r="I566">
        <f t="shared" si="220"/>
        <v>120</v>
      </c>
      <c r="J566" t="s">
        <v>187</v>
      </c>
      <c r="K566">
        <v>42</v>
      </c>
      <c r="M566">
        <f t="shared" si="218"/>
        <v>84</v>
      </c>
      <c r="N566">
        <f t="shared" si="219"/>
        <v>36</v>
      </c>
    </row>
    <row r="567" spans="1:14" ht="15" customHeight="1" x14ac:dyDescent="0.25">
      <c r="A567">
        <v>118</v>
      </c>
      <c r="B567" s="1">
        <v>43868</v>
      </c>
      <c r="C567" t="s">
        <v>161</v>
      </c>
      <c r="D567" t="s">
        <v>70</v>
      </c>
      <c r="F567" t="s">
        <v>194</v>
      </c>
      <c r="G567">
        <v>2</v>
      </c>
      <c r="H567">
        <v>1850</v>
      </c>
      <c r="I567">
        <f t="shared" si="220"/>
        <v>3700</v>
      </c>
      <c r="J567" t="s">
        <v>167</v>
      </c>
      <c r="K567">
        <v>1655</v>
      </c>
      <c r="M567">
        <f t="shared" si="218"/>
        <v>3310</v>
      </c>
      <c r="N567">
        <f t="shared" si="219"/>
        <v>390</v>
      </c>
    </row>
    <row r="568" spans="1:14" ht="15" customHeight="1" x14ac:dyDescent="0.25">
      <c r="A568">
        <v>119</v>
      </c>
      <c r="B568" s="1">
        <v>43868</v>
      </c>
      <c r="C568" t="s">
        <v>161</v>
      </c>
      <c r="D568" t="s">
        <v>70</v>
      </c>
      <c r="F568" t="s">
        <v>152</v>
      </c>
      <c r="G568">
        <v>3</v>
      </c>
      <c r="H568">
        <v>85</v>
      </c>
      <c r="I568">
        <f t="shared" si="220"/>
        <v>255</v>
      </c>
      <c r="J568" t="s">
        <v>163</v>
      </c>
      <c r="K568">
        <v>67</v>
      </c>
      <c r="M568">
        <f t="shared" si="218"/>
        <v>201</v>
      </c>
      <c r="N568">
        <f t="shared" si="219"/>
        <v>54</v>
      </c>
    </row>
    <row r="569" spans="1:14" ht="15" customHeight="1" x14ac:dyDescent="0.25">
      <c r="A569">
        <v>120</v>
      </c>
      <c r="B569" s="1">
        <v>43868</v>
      </c>
      <c r="C569" t="s">
        <v>161</v>
      </c>
      <c r="D569" t="s">
        <v>15</v>
      </c>
      <c r="F569" t="s">
        <v>29</v>
      </c>
      <c r="G569">
        <v>1</v>
      </c>
      <c r="H569">
        <v>230</v>
      </c>
      <c r="I569">
        <f t="shared" si="220"/>
        <v>230</v>
      </c>
      <c r="J569" t="s">
        <v>163</v>
      </c>
      <c r="K569">
        <v>196</v>
      </c>
      <c r="M569">
        <f t="shared" si="218"/>
        <v>196</v>
      </c>
      <c r="N569">
        <f t="shared" si="219"/>
        <v>34</v>
      </c>
    </row>
    <row r="570" spans="1:14" ht="15" customHeight="1" x14ac:dyDescent="0.25">
      <c r="A570">
        <v>121</v>
      </c>
      <c r="B570" s="1">
        <v>43868</v>
      </c>
      <c r="C570" t="s">
        <v>161</v>
      </c>
      <c r="D570" t="s">
        <v>15</v>
      </c>
      <c r="F570" t="s">
        <v>29</v>
      </c>
      <c r="G570">
        <v>1</v>
      </c>
      <c r="H570">
        <v>230</v>
      </c>
      <c r="I570">
        <f t="shared" si="220"/>
        <v>230</v>
      </c>
      <c r="J570" t="s">
        <v>163</v>
      </c>
      <c r="K570">
        <v>196</v>
      </c>
      <c r="M570">
        <f t="shared" si="218"/>
        <v>196</v>
      </c>
      <c r="N570">
        <f t="shared" si="219"/>
        <v>34</v>
      </c>
    </row>
    <row r="571" spans="1:14" ht="15" customHeight="1" x14ac:dyDescent="0.25">
      <c r="A571">
        <v>122</v>
      </c>
      <c r="B571" s="1">
        <v>43868</v>
      </c>
      <c r="C571" t="s">
        <v>161</v>
      </c>
      <c r="D571" t="s">
        <v>15</v>
      </c>
      <c r="F571" t="s">
        <v>29</v>
      </c>
      <c r="G571">
        <f>2/9</f>
        <v>0.22222222222222221</v>
      </c>
      <c r="H571">
        <v>230</v>
      </c>
      <c r="I571">
        <f t="shared" si="220"/>
        <v>51.111111111111107</v>
      </c>
      <c r="J571" t="s">
        <v>163</v>
      </c>
      <c r="K571">
        <v>196</v>
      </c>
      <c r="M571">
        <f t="shared" si="218"/>
        <v>43.55555555555555</v>
      </c>
      <c r="N571">
        <f t="shared" si="219"/>
        <v>7.5555555555555571</v>
      </c>
    </row>
    <row r="572" spans="1:14" ht="15" customHeight="1" x14ac:dyDescent="0.25">
      <c r="A572">
        <v>123</v>
      </c>
      <c r="B572" s="1">
        <v>43869</v>
      </c>
      <c r="C572" t="s">
        <v>161</v>
      </c>
      <c r="D572" t="s">
        <v>15</v>
      </c>
      <c r="F572" t="s">
        <v>209</v>
      </c>
      <c r="G572">
        <v>1</v>
      </c>
      <c r="H572">
        <v>240</v>
      </c>
      <c r="I572">
        <f t="shared" si="220"/>
        <v>240</v>
      </c>
      <c r="J572" t="s">
        <v>163</v>
      </c>
      <c r="K572">
        <v>180</v>
      </c>
      <c r="M572">
        <f t="shared" si="218"/>
        <v>180</v>
      </c>
      <c r="N572">
        <f t="shared" si="219"/>
        <v>60</v>
      </c>
    </row>
    <row r="573" spans="1:14" ht="15" customHeight="1" x14ac:dyDescent="0.25">
      <c r="A573">
        <v>124</v>
      </c>
      <c r="B573" s="1">
        <v>43869</v>
      </c>
      <c r="C573" t="s">
        <v>161</v>
      </c>
      <c r="D573" t="s">
        <v>55</v>
      </c>
      <c r="F573" t="s">
        <v>111</v>
      </c>
      <c r="G573">
        <f>4/17</f>
        <v>0.23529411764705882</v>
      </c>
      <c r="H573">
        <v>290</v>
      </c>
      <c r="I573">
        <f t="shared" si="220"/>
        <v>68.235294117647058</v>
      </c>
      <c r="J573" t="s">
        <v>13</v>
      </c>
      <c r="K573">
        <v>271</v>
      </c>
      <c r="M573">
        <f t="shared" si="218"/>
        <v>63.764705882352942</v>
      </c>
      <c r="N573">
        <f t="shared" si="219"/>
        <v>4.470588235294116</v>
      </c>
    </row>
    <row r="574" spans="1:14" ht="15" customHeight="1" x14ac:dyDescent="0.25">
      <c r="A574">
        <v>125</v>
      </c>
      <c r="B574" s="1">
        <v>43869</v>
      </c>
      <c r="C574" t="s">
        <v>161</v>
      </c>
      <c r="D574" t="s">
        <v>55</v>
      </c>
      <c r="F574" t="s">
        <v>111</v>
      </c>
      <c r="G574">
        <v>3</v>
      </c>
      <c r="H574">
        <v>290</v>
      </c>
      <c r="I574">
        <f t="shared" si="220"/>
        <v>870</v>
      </c>
      <c r="J574" t="s">
        <v>13</v>
      </c>
      <c r="K574">
        <v>271</v>
      </c>
      <c r="M574">
        <f t="shared" si="218"/>
        <v>813</v>
      </c>
      <c r="N574">
        <f t="shared" si="219"/>
        <v>57</v>
      </c>
    </row>
    <row r="575" spans="1:14" ht="15" customHeight="1" x14ac:dyDescent="0.25">
      <c r="A575">
        <v>126</v>
      </c>
      <c r="B575" s="1">
        <v>43869</v>
      </c>
      <c r="C575" t="s">
        <v>161</v>
      </c>
      <c r="D575" t="s">
        <v>55</v>
      </c>
      <c r="F575" t="s">
        <v>22</v>
      </c>
      <c r="G575">
        <v>2</v>
      </c>
      <c r="H575">
        <v>290</v>
      </c>
      <c r="I575">
        <f t="shared" si="220"/>
        <v>580</v>
      </c>
      <c r="J575" t="s">
        <v>13</v>
      </c>
      <c r="K575">
        <v>271</v>
      </c>
      <c r="M575">
        <f t="shared" si="218"/>
        <v>542</v>
      </c>
      <c r="N575">
        <f t="shared" si="219"/>
        <v>38</v>
      </c>
    </row>
    <row r="576" spans="1:14" ht="15" customHeight="1" x14ac:dyDescent="0.25">
      <c r="A576">
        <v>127</v>
      </c>
      <c r="B576" s="1">
        <v>43869</v>
      </c>
      <c r="C576" t="s">
        <v>161</v>
      </c>
      <c r="D576" t="s">
        <v>56</v>
      </c>
      <c r="F576" t="s">
        <v>267</v>
      </c>
      <c r="G576">
        <v>1</v>
      </c>
      <c r="H576">
        <v>170</v>
      </c>
      <c r="I576">
        <f t="shared" si="220"/>
        <v>170</v>
      </c>
      <c r="J576" t="s">
        <v>163</v>
      </c>
      <c r="K576">
        <v>131</v>
      </c>
      <c r="M576">
        <f t="shared" si="218"/>
        <v>131</v>
      </c>
      <c r="N576">
        <f t="shared" si="219"/>
        <v>39</v>
      </c>
    </row>
    <row r="577" spans="1:14" ht="15" customHeight="1" x14ac:dyDescent="0.25">
      <c r="A577">
        <v>128</v>
      </c>
      <c r="B577" s="1">
        <v>43869</v>
      </c>
      <c r="C577" t="s">
        <v>161</v>
      </c>
      <c r="D577" t="s">
        <v>15</v>
      </c>
      <c r="F577" t="s">
        <v>153</v>
      </c>
      <c r="G577">
        <v>25</v>
      </c>
      <c r="H577">
        <v>240</v>
      </c>
      <c r="I577">
        <f t="shared" si="220"/>
        <v>6000</v>
      </c>
      <c r="J577" t="s">
        <v>163</v>
      </c>
      <c r="K577">
        <v>194</v>
      </c>
      <c r="M577">
        <f t="shared" si="218"/>
        <v>4850</v>
      </c>
      <c r="N577">
        <f t="shared" si="219"/>
        <v>1150</v>
      </c>
    </row>
    <row r="578" spans="1:14" ht="15" customHeight="1" x14ac:dyDescent="0.25">
      <c r="A578">
        <v>129</v>
      </c>
      <c r="B578" s="1">
        <v>43869</v>
      </c>
      <c r="C578" t="s">
        <v>161</v>
      </c>
      <c r="D578" t="s">
        <v>15</v>
      </c>
      <c r="F578" t="s">
        <v>16</v>
      </c>
      <c r="G578">
        <v>1</v>
      </c>
      <c r="H578">
        <v>290</v>
      </c>
      <c r="I578">
        <f t="shared" si="220"/>
        <v>290</v>
      </c>
      <c r="J578" t="s">
        <v>13</v>
      </c>
      <c r="K578">
        <v>271</v>
      </c>
      <c r="M578">
        <f t="shared" ref="M578:M598" si="224">+K578*G578</f>
        <v>271</v>
      </c>
      <c r="N578">
        <f t="shared" ref="N578:N598" si="225">+I578-M578</f>
        <v>19</v>
      </c>
    </row>
    <row r="579" spans="1:14" ht="15" customHeight="1" x14ac:dyDescent="0.25">
      <c r="A579">
        <v>130</v>
      </c>
      <c r="B579" s="1">
        <v>43869</v>
      </c>
      <c r="C579" t="s">
        <v>161</v>
      </c>
      <c r="D579" t="s">
        <v>44</v>
      </c>
      <c r="F579" t="s">
        <v>138</v>
      </c>
      <c r="G579">
        <v>1</v>
      </c>
      <c r="H579">
        <v>35</v>
      </c>
      <c r="I579">
        <f t="shared" ref="I579:I616" si="226">+G579*H579</f>
        <v>35</v>
      </c>
      <c r="J579" t="s">
        <v>166</v>
      </c>
      <c r="K579">
        <v>22</v>
      </c>
      <c r="M579">
        <f t="shared" si="224"/>
        <v>22</v>
      </c>
      <c r="N579">
        <f t="shared" si="225"/>
        <v>13</v>
      </c>
    </row>
    <row r="580" spans="1:14" ht="15" customHeight="1" x14ac:dyDescent="0.25">
      <c r="A580">
        <v>131</v>
      </c>
      <c r="B580" s="1">
        <v>43869</v>
      </c>
      <c r="C580" t="s">
        <v>161</v>
      </c>
      <c r="D580" t="s">
        <v>55</v>
      </c>
      <c r="F580" t="s">
        <v>111</v>
      </c>
      <c r="G580">
        <v>1</v>
      </c>
      <c r="H580">
        <v>290</v>
      </c>
      <c r="I580">
        <f t="shared" si="226"/>
        <v>290</v>
      </c>
      <c r="J580" t="s">
        <v>13</v>
      </c>
      <c r="K580">
        <v>271</v>
      </c>
      <c r="M580">
        <f t="shared" si="224"/>
        <v>271</v>
      </c>
      <c r="N580">
        <f t="shared" si="225"/>
        <v>19</v>
      </c>
    </row>
    <row r="581" spans="1:14" ht="15" customHeight="1" x14ac:dyDescent="0.25">
      <c r="A581">
        <v>132</v>
      </c>
      <c r="B581" s="1">
        <v>43869</v>
      </c>
      <c r="C581" t="s">
        <v>161</v>
      </c>
      <c r="D581" t="s">
        <v>15</v>
      </c>
      <c r="F581" t="s">
        <v>29</v>
      </c>
      <c r="G581">
        <v>2</v>
      </c>
      <c r="H581">
        <v>230</v>
      </c>
      <c r="I581">
        <f t="shared" si="226"/>
        <v>460</v>
      </c>
      <c r="J581" t="s">
        <v>163</v>
      </c>
      <c r="K581">
        <v>196</v>
      </c>
      <c r="M581">
        <f t="shared" si="224"/>
        <v>392</v>
      </c>
      <c r="N581">
        <f t="shared" si="225"/>
        <v>68</v>
      </c>
    </row>
    <row r="582" spans="1:14" ht="15" customHeight="1" x14ac:dyDescent="0.25">
      <c r="A582">
        <v>133</v>
      </c>
      <c r="B582" s="1">
        <v>43869</v>
      </c>
      <c r="C582" t="s">
        <v>161</v>
      </c>
      <c r="D582" t="s">
        <v>78</v>
      </c>
      <c r="F582" t="s">
        <v>213</v>
      </c>
      <c r="G582">
        <v>1</v>
      </c>
      <c r="H582">
        <v>90</v>
      </c>
      <c r="I582">
        <f t="shared" si="226"/>
        <v>90</v>
      </c>
      <c r="J582" t="s">
        <v>166</v>
      </c>
      <c r="K582">
        <v>67</v>
      </c>
      <c r="M582">
        <f t="shared" si="224"/>
        <v>67</v>
      </c>
      <c r="N582">
        <f t="shared" si="225"/>
        <v>23</v>
      </c>
    </row>
    <row r="583" spans="1:14" ht="15" customHeight="1" x14ac:dyDescent="0.25">
      <c r="A583">
        <v>134</v>
      </c>
      <c r="B583" s="1">
        <v>43869</v>
      </c>
      <c r="C583" t="s">
        <v>161</v>
      </c>
      <c r="D583" t="s">
        <v>15</v>
      </c>
      <c r="F583" t="s">
        <v>29</v>
      </c>
      <c r="G583">
        <v>6</v>
      </c>
      <c r="H583">
        <v>230</v>
      </c>
      <c r="I583">
        <f t="shared" si="226"/>
        <v>1380</v>
      </c>
      <c r="J583" t="s">
        <v>163</v>
      </c>
      <c r="K583">
        <v>196</v>
      </c>
      <c r="M583">
        <f t="shared" si="224"/>
        <v>1176</v>
      </c>
      <c r="N583">
        <f t="shared" si="225"/>
        <v>204</v>
      </c>
    </row>
    <row r="584" spans="1:14" ht="15" customHeight="1" x14ac:dyDescent="0.25">
      <c r="A584">
        <v>135</v>
      </c>
      <c r="B584" s="1">
        <v>43869</v>
      </c>
      <c r="C584" t="s">
        <v>161</v>
      </c>
      <c r="D584" t="s">
        <v>70</v>
      </c>
      <c r="F584" t="s">
        <v>210</v>
      </c>
      <c r="G584">
        <v>1</v>
      </c>
      <c r="H584">
        <v>500</v>
      </c>
      <c r="I584">
        <f t="shared" si="226"/>
        <v>500</v>
      </c>
      <c r="J584" t="s">
        <v>163</v>
      </c>
      <c r="K584" s="8">
        <v>400</v>
      </c>
      <c r="M584">
        <f t="shared" si="224"/>
        <v>400</v>
      </c>
      <c r="N584">
        <f t="shared" si="225"/>
        <v>100</v>
      </c>
    </row>
    <row r="585" spans="1:14" ht="15" customHeight="1" x14ac:dyDescent="0.25">
      <c r="A585">
        <v>136</v>
      </c>
      <c r="B585" s="1">
        <v>43869</v>
      </c>
      <c r="C585" t="s">
        <v>161</v>
      </c>
      <c r="D585" t="s">
        <v>15</v>
      </c>
      <c r="F585" t="s">
        <v>80</v>
      </c>
      <c r="G585">
        <f>5/4.32</f>
        <v>1.1574074074074074</v>
      </c>
      <c r="H585">
        <v>240</v>
      </c>
      <c r="I585">
        <f t="shared" si="226"/>
        <v>277.77777777777777</v>
      </c>
      <c r="J585" t="s">
        <v>163</v>
      </c>
      <c r="K585">
        <v>212</v>
      </c>
      <c r="M585">
        <f t="shared" si="224"/>
        <v>245.37037037037038</v>
      </c>
      <c r="N585">
        <f t="shared" si="225"/>
        <v>32.407407407407391</v>
      </c>
    </row>
    <row r="586" spans="1:14" ht="15" customHeight="1" x14ac:dyDescent="0.25">
      <c r="A586">
        <v>137</v>
      </c>
      <c r="B586" s="1">
        <v>43869</v>
      </c>
      <c r="C586" t="s">
        <v>161</v>
      </c>
      <c r="D586" t="s">
        <v>15</v>
      </c>
      <c r="F586" t="s">
        <v>211</v>
      </c>
      <c r="G586">
        <f>6/8</f>
        <v>0.75</v>
      </c>
      <c r="H586">
        <v>230</v>
      </c>
      <c r="I586">
        <f t="shared" si="226"/>
        <v>172.5</v>
      </c>
      <c r="J586" t="s">
        <v>163</v>
      </c>
      <c r="K586">
        <f>155.37*1.15</f>
        <v>178.6755</v>
      </c>
      <c r="M586">
        <f t="shared" si="224"/>
        <v>134.00662499999999</v>
      </c>
      <c r="N586">
        <f t="shared" si="225"/>
        <v>38.493375000000015</v>
      </c>
    </row>
    <row r="587" spans="1:14" ht="15" customHeight="1" x14ac:dyDescent="0.25">
      <c r="A587">
        <v>138</v>
      </c>
      <c r="B587" s="1">
        <v>43869</v>
      </c>
      <c r="C587" t="s">
        <v>161</v>
      </c>
      <c r="D587" t="s">
        <v>25</v>
      </c>
      <c r="F587" t="s">
        <v>128</v>
      </c>
      <c r="G587">
        <v>1</v>
      </c>
      <c r="H587">
        <v>60</v>
      </c>
      <c r="I587">
        <f t="shared" si="226"/>
        <v>60</v>
      </c>
      <c r="J587" t="s">
        <v>165</v>
      </c>
      <c r="K587">
        <f>380/12</f>
        <v>31.666666666666668</v>
      </c>
      <c r="M587">
        <f t="shared" si="224"/>
        <v>31.666666666666668</v>
      </c>
      <c r="N587">
        <f t="shared" si="225"/>
        <v>28.333333333333332</v>
      </c>
    </row>
    <row r="588" spans="1:14" ht="15" customHeight="1" x14ac:dyDescent="0.25">
      <c r="A588">
        <v>139</v>
      </c>
      <c r="B588" s="1">
        <v>43869</v>
      </c>
      <c r="C588" t="s">
        <v>161</v>
      </c>
      <c r="D588" t="s">
        <v>56</v>
      </c>
      <c r="F588" t="s">
        <v>267</v>
      </c>
      <c r="G588">
        <v>1</v>
      </c>
      <c r="H588">
        <v>170</v>
      </c>
      <c r="I588">
        <f t="shared" si="226"/>
        <v>170</v>
      </c>
      <c r="J588" t="s">
        <v>163</v>
      </c>
      <c r="K588">
        <v>131</v>
      </c>
      <c r="M588">
        <f t="shared" si="224"/>
        <v>131</v>
      </c>
      <c r="N588">
        <f t="shared" si="225"/>
        <v>39</v>
      </c>
    </row>
    <row r="589" spans="1:14" ht="15" customHeight="1" x14ac:dyDescent="0.25">
      <c r="A589">
        <v>140</v>
      </c>
      <c r="B589" s="1">
        <v>43869</v>
      </c>
      <c r="C589" t="s">
        <v>161</v>
      </c>
      <c r="D589" t="s">
        <v>55</v>
      </c>
      <c r="F589" t="s">
        <v>22</v>
      </c>
      <c r="G589">
        <v>1</v>
      </c>
      <c r="H589">
        <v>290</v>
      </c>
      <c r="I589">
        <f t="shared" si="226"/>
        <v>290</v>
      </c>
      <c r="J589" t="s">
        <v>13</v>
      </c>
      <c r="K589">
        <v>271</v>
      </c>
      <c r="M589">
        <f t="shared" si="224"/>
        <v>271</v>
      </c>
      <c r="N589">
        <f t="shared" si="225"/>
        <v>19</v>
      </c>
    </row>
    <row r="590" spans="1:14" ht="15" customHeight="1" x14ac:dyDescent="0.25">
      <c r="A590">
        <v>141</v>
      </c>
      <c r="B590" s="1">
        <v>43869</v>
      </c>
      <c r="C590" t="s">
        <v>161</v>
      </c>
      <c r="D590" t="s">
        <v>85</v>
      </c>
      <c r="F590" t="s">
        <v>86</v>
      </c>
      <c r="G590">
        <v>1</v>
      </c>
      <c r="H590">
        <v>960</v>
      </c>
      <c r="I590">
        <f t="shared" si="226"/>
        <v>960</v>
      </c>
      <c r="J590" t="s">
        <v>167</v>
      </c>
      <c r="K590">
        <v>470</v>
      </c>
      <c r="M590">
        <f t="shared" si="224"/>
        <v>470</v>
      </c>
      <c r="N590">
        <f t="shared" si="225"/>
        <v>490</v>
      </c>
    </row>
    <row r="591" spans="1:14" ht="15" customHeight="1" x14ac:dyDescent="0.25">
      <c r="A591">
        <v>142</v>
      </c>
      <c r="B591" s="1">
        <v>43869</v>
      </c>
      <c r="C591" t="s">
        <v>161</v>
      </c>
      <c r="D591" t="s">
        <v>15</v>
      </c>
      <c r="F591" t="s">
        <v>131</v>
      </c>
      <c r="G591">
        <v>1</v>
      </c>
      <c r="H591">
        <v>290</v>
      </c>
      <c r="I591">
        <f t="shared" si="226"/>
        <v>290</v>
      </c>
      <c r="J591" t="s">
        <v>13</v>
      </c>
      <c r="K591">
        <v>271</v>
      </c>
      <c r="M591">
        <f t="shared" si="224"/>
        <v>271</v>
      </c>
      <c r="N591">
        <f t="shared" si="225"/>
        <v>19</v>
      </c>
    </row>
    <row r="592" spans="1:14" ht="15" customHeight="1" x14ac:dyDescent="0.25">
      <c r="A592">
        <v>143</v>
      </c>
      <c r="B592" s="1">
        <v>43869</v>
      </c>
      <c r="C592" t="s">
        <v>161</v>
      </c>
      <c r="D592" t="s">
        <v>56</v>
      </c>
      <c r="F592" t="s">
        <v>38</v>
      </c>
      <c r="G592">
        <v>5</v>
      </c>
      <c r="H592">
        <v>110</v>
      </c>
      <c r="I592">
        <f t="shared" si="226"/>
        <v>550</v>
      </c>
      <c r="J592" t="s">
        <v>164</v>
      </c>
      <c r="K592">
        <v>70</v>
      </c>
      <c r="M592">
        <f t="shared" si="224"/>
        <v>350</v>
      </c>
      <c r="N592">
        <f t="shared" si="225"/>
        <v>200</v>
      </c>
    </row>
    <row r="593" spans="1:14" ht="15" customHeight="1" x14ac:dyDescent="0.25">
      <c r="A593">
        <v>144</v>
      </c>
      <c r="B593" s="1">
        <v>43869</v>
      </c>
      <c r="C593" t="s">
        <v>161</v>
      </c>
      <c r="D593" t="s">
        <v>15</v>
      </c>
      <c r="F593" t="s">
        <v>29</v>
      </c>
      <c r="G593">
        <f>3/9</f>
        <v>0.33333333333333331</v>
      </c>
      <c r="H593">
        <v>230</v>
      </c>
      <c r="I593">
        <f t="shared" si="226"/>
        <v>76.666666666666657</v>
      </c>
      <c r="J593" t="s">
        <v>163</v>
      </c>
      <c r="K593">
        <v>196</v>
      </c>
      <c r="M593">
        <f t="shared" si="224"/>
        <v>65.333333333333329</v>
      </c>
      <c r="N593">
        <f t="shared" si="225"/>
        <v>11.333333333333329</v>
      </c>
    </row>
    <row r="594" spans="1:14" ht="15" customHeight="1" x14ac:dyDescent="0.25">
      <c r="A594">
        <v>145</v>
      </c>
      <c r="B594" s="1">
        <v>43869</v>
      </c>
      <c r="C594" t="s">
        <v>161</v>
      </c>
      <c r="D594" t="s">
        <v>15</v>
      </c>
      <c r="F594" t="s">
        <v>212</v>
      </c>
      <c r="G594">
        <v>1</v>
      </c>
      <c r="H594">
        <v>90</v>
      </c>
      <c r="I594">
        <f t="shared" si="226"/>
        <v>90</v>
      </c>
      <c r="J594" t="s">
        <v>23</v>
      </c>
      <c r="K594">
        <v>0</v>
      </c>
      <c r="M594">
        <f t="shared" si="224"/>
        <v>0</v>
      </c>
      <c r="N594">
        <f t="shared" si="225"/>
        <v>90</v>
      </c>
    </row>
    <row r="595" spans="1:14" ht="15" customHeight="1" x14ac:dyDescent="0.25">
      <c r="A595">
        <v>146</v>
      </c>
      <c r="B595" s="1">
        <v>43869</v>
      </c>
      <c r="C595" t="s">
        <v>161</v>
      </c>
      <c r="D595" t="s">
        <v>55</v>
      </c>
      <c r="F595" t="s">
        <v>22</v>
      </c>
      <c r="G595">
        <v>2</v>
      </c>
      <c r="H595">
        <v>290</v>
      </c>
      <c r="I595">
        <f t="shared" si="226"/>
        <v>580</v>
      </c>
      <c r="J595" t="s">
        <v>13</v>
      </c>
      <c r="K595">
        <v>271</v>
      </c>
      <c r="M595">
        <f t="shared" si="224"/>
        <v>542</v>
      </c>
      <c r="N595">
        <f t="shared" si="225"/>
        <v>38</v>
      </c>
    </row>
    <row r="596" spans="1:14" ht="15" customHeight="1" x14ac:dyDescent="0.25">
      <c r="A596">
        <v>147</v>
      </c>
      <c r="B596" s="1">
        <v>43869</v>
      </c>
      <c r="C596" t="s">
        <v>161</v>
      </c>
      <c r="D596" t="s">
        <v>44</v>
      </c>
      <c r="F596" t="s">
        <v>138</v>
      </c>
      <c r="G596">
        <v>2</v>
      </c>
      <c r="H596">
        <v>35</v>
      </c>
      <c r="I596">
        <f t="shared" si="226"/>
        <v>70</v>
      </c>
      <c r="J596" t="s">
        <v>166</v>
      </c>
      <c r="K596">
        <v>22</v>
      </c>
      <c r="M596">
        <f t="shared" si="224"/>
        <v>44</v>
      </c>
      <c r="N596">
        <f t="shared" si="225"/>
        <v>26</v>
      </c>
    </row>
    <row r="597" spans="1:14" ht="15" customHeight="1" x14ac:dyDescent="0.25">
      <c r="A597">
        <v>148</v>
      </c>
      <c r="B597" s="1">
        <v>43869</v>
      </c>
      <c r="C597" t="s">
        <v>161</v>
      </c>
      <c r="D597" t="s">
        <v>56</v>
      </c>
      <c r="F597" t="s">
        <v>267</v>
      </c>
      <c r="G597">
        <v>1</v>
      </c>
      <c r="H597">
        <v>170</v>
      </c>
      <c r="I597">
        <f t="shared" si="226"/>
        <v>170</v>
      </c>
      <c r="J597" t="s">
        <v>163</v>
      </c>
      <c r="K597">
        <v>131</v>
      </c>
      <c r="M597">
        <f t="shared" si="224"/>
        <v>131</v>
      </c>
      <c r="N597">
        <f t="shared" si="225"/>
        <v>39</v>
      </c>
    </row>
    <row r="598" spans="1:14" ht="15" customHeight="1" x14ac:dyDescent="0.25">
      <c r="A598">
        <v>149</v>
      </c>
      <c r="B598" s="1">
        <v>43871</v>
      </c>
      <c r="C598" t="s">
        <v>161</v>
      </c>
      <c r="D598" t="s">
        <v>55</v>
      </c>
      <c r="F598" t="s">
        <v>97</v>
      </c>
      <c r="G598">
        <v>2</v>
      </c>
      <c r="H598">
        <v>280</v>
      </c>
      <c r="I598">
        <f t="shared" si="226"/>
        <v>560</v>
      </c>
      <c r="J598" t="s">
        <v>13</v>
      </c>
      <c r="K598">
        <v>226</v>
      </c>
      <c r="M598">
        <f t="shared" si="224"/>
        <v>452</v>
      </c>
      <c r="N598">
        <f t="shared" si="225"/>
        <v>108</v>
      </c>
    </row>
    <row r="599" spans="1:14" ht="15" customHeight="1" x14ac:dyDescent="0.25">
      <c r="A599">
        <v>150</v>
      </c>
      <c r="B599" s="1">
        <v>43871</v>
      </c>
      <c r="C599" t="s">
        <v>161</v>
      </c>
      <c r="D599" t="s">
        <v>56</v>
      </c>
      <c r="F599" t="s">
        <v>38</v>
      </c>
      <c r="G599">
        <v>2</v>
      </c>
      <c r="H599">
        <v>110</v>
      </c>
      <c r="I599">
        <f t="shared" si="226"/>
        <v>220</v>
      </c>
      <c r="J599" t="s">
        <v>164</v>
      </c>
      <c r="K599">
        <v>70</v>
      </c>
      <c r="M599">
        <f t="shared" ref="M599:M600" si="227">+K599*G599</f>
        <v>140</v>
      </c>
      <c r="N599">
        <f t="shared" ref="N599:N600" si="228">+I599-M599</f>
        <v>80</v>
      </c>
    </row>
    <row r="600" spans="1:14" ht="15" customHeight="1" x14ac:dyDescent="0.25">
      <c r="A600">
        <v>151</v>
      </c>
      <c r="B600" s="1">
        <v>43871</v>
      </c>
      <c r="C600" t="s">
        <v>161</v>
      </c>
      <c r="D600" t="s">
        <v>56</v>
      </c>
      <c r="F600" t="s">
        <v>38</v>
      </c>
      <c r="G600">
        <v>1</v>
      </c>
      <c r="H600">
        <v>110</v>
      </c>
      <c r="I600">
        <f t="shared" si="226"/>
        <v>110</v>
      </c>
      <c r="J600" t="s">
        <v>164</v>
      </c>
      <c r="K600">
        <v>70</v>
      </c>
      <c r="M600">
        <f t="shared" si="227"/>
        <v>70</v>
      </c>
      <c r="N600">
        <f t="shared" si="228"/>
        <v>40</v>
      </c>
    </row>
    <row r="601" spans="1:14" ht="15" customHeight="1" x14ac:dyDescent="0.25">
      <c r="A601">
        <v>152</v>
      </c>
      <c r="B601" s="1">
        <v>43871</v>
      </c>
      <c r="C601" t="s">
        <v>161</v>
      </c>
      <c r="D601" t="s">
        <v>15</v>
      </c>
      <c r="F601" t="s">
        <v>131</v>
      </c>
      <c r="G601">
        <v>2</v>
      </c>
      <c r="H601">
        <v>290</v>
      </c>
      <c r="I601">
        <f t="shared" si="226"/>
        <v>580</v>
      </c>
      <c r="J601" t="s">
        <v>13</v>
      </c>
      <c r="K601">
        <v>271</v>
      </c>
      <c r="M601">
        <f t="shared" ref="M601:M603" si="229">+K601*G601</f>
        <v>542</v>
      </c>
      <c r="N601">
        <f t="shared" ref="N601:N603" si="230">+I601-M601</f>
        <v>38</v>
      </c>
    </row>
    <row r="602" spans="1:14" ht="15" customHeight="1" x14ac:dyDescent="0.25">
      <c r="A602">
        <v>153</v>
      </c>
      <c r="B602" s="1">
        <v>43871</v>
      </c>
      <c r="C602" t="s">
        <v>161</v>
      </c>
      <c r="D602" t="s">
        <v>15</v>
      </c>
      <c r="F602" t="s">
        <v>28</v>
      </c>
      <c r="G602">
        <v>4</v>
      </c>
      <c r="H602">
        <v>230</v>
      </c>
      <c r="I602">
        <f t="shared" si="226"/>
        <v>920</v>
      </c>
      <c r="J602" t="s">
        <v>163</v>
      </c>
      <c r="K602">
        <v>182</v>
      </c>
      <c r="M602" s="11">
        <f t="shared" si="229"/>
        <v>728</v>
      </c>
      <c r="N602" s="11">
        <f t="shared" si="230"/>
        <v>192</v>
      </c>
    </row>
    <row r="603" spans="1:14" ht="15" customHeight="1" x14ac:dyDescent="0.25">
      <c r="A603">
        <v>154</v>
      </c>
      <c r="B603" s="1">
        <v>43871</v>
      </c>
      <c r="C603" t="s">
        <v>161</v>
      </c>
      <c r="D603" t="s">
        <v>15</v>
      </c>
      <c r="F603" t="s">
        <v>31</v>
      </c>
      <c r="G603">
        <v>2</v>
      </c>
      <c r="H603">
        <v>280</v>
      </c>
      <c r="I603">
        <f t="shared" si="226"/>
        <v>560</v>
      </c>
      <c r="J603" t="s">
        <v>163</v>
      </c>
      <c r="K603">
        <v>215</v>
      </c>
      <c r="M603">
        <f t="shared" si="229"/>
        <v>430</v>
      </c>
      <c r="N603">
        <f t="shared" si="230"/>
        <v>130</v>
      </c>
    </row>
    <row r="604" spans="1:14" ht="15" customHeight="1" x14ac:dyDescent="0.25">
      <c r="A604">
        <v>155</v>
      </c>
      <c r="B604" s="1">
        <v>43871</v>
      </c>
      <c r="C604" t="s">
        <v>161</v>
      </c>
      <c r="D604" t="s">
        <v>15</v>
      </c>
      <c r="F604" t="s">
        <v>54</v>
      </c>
      <c r="G604">
        <v>3.47</v>
      </c>
      <c r="H604">
        <v>240</v>
      </c>
      <c r="I604">
        <f t="shared" si="226"/>
        <v>832.80000000000007</v>
      </c>
      <c r="J604" t="s">
        <v>163</v>
      </c>
      <c r="K604">
        <v>212</v>
      </c>
      <c r="M604">
        <f t="shared" ref="M604" si="231">+K604*G604</f>
        <v>735.64</v>
      </c>
      <c r="N604">
        <f t="shared" ref="N604" si="232">+I604-M604</f>
        <v>97.160000000000082</v>
      </c>
    </row>
    <row r="605" spans="1:14" ht="15" customHeight="1" x14ac:dyDescent="0.25">
      <c r="A605">
        <v>156</v>
      </c>
      <c r="B605" s="1">
        <v>43871</v>
      </c>
      <c r="C605" t="s">
        <v>161</v>
      </c>
      <c r="D605" t="s">
        <v>56</v>
      </c>
      <c r="F605" t="s">
        <v>267</v>
      </c>
      <c r="G605">
        <v>2</v>
      </c>
      <c r="H605">
        <v>170</v>
      </c>
      <c r="I605">
        <f t="shared" si="226"/>
        <v>340</v>
      </c>
      <c r="J605" t="s">
        <v>163</v>
      </c>
      <c r="K605">
        <v>131</v>
      </c>
      <c r="M605">
        <f t="shared" ref="M605:M606" si="233">+K605*G605</f>
        <v>262</v>
      </c>
      <c r="N605">
        <f t="shared" ref="N605:N606" si="234">+I605-M605</f>
        <v>78</v>
      </c>
    </row>
    <row r="606" spans="1:14" ht="15" customHeight="1" x14ac:dyDescent="0.25">
      <c r="A606">
        <v>157</v>
      </c>
      <c r="B606" s="1">
        <v>43871</v>
      </c>
      <c r="C606" t="s">
        <v>161</v>
      </c>
      <c r="D606" t="s">
        <v>15</v>
      </c>
      <c r="F606" t="s">
        <v>54</v>
      </c>
      <c r="G606">
        <v>36</v>
      </c>
      <c r="H606">
        <v>240</v>
      </c>
      <c r="I606">
        <f t="shared" si="226"/>
        <v>8640</v>
      </c>
      <c r="J606" t="s">
        <v>163</v>
      </c>
      <c r="K606">
        <v>212</v>
      </c>
      <c r="M606">
        <f t="shared" si="233"/>
        <v>7632</v>
      </c>
      <c r="N606">
        <f t="shared" si="234"/>
        <v>1008</v>
      </c>
    </row>
    <row r="607" spans="1:14" ht="15" customHeight="1" x14ac:dyDescent="0.25">
      <c r="A607">
        <v>158</v>
      </c>
      <c r="B607" s="1">
        <v>43871</v>
      </c>
      <c r="C607" t="s">
        <v>161</v>
      </c>
      <c r="D607" t="s">
        <v>56</v>
      </c>
      <c r="F607" t="s">
        <v>267</v>
      </c>
      <c r="G607">
        <v>4</v>
      </c>
      <c r="H607">
        <v>170</v>
      </c>
      <c r="I607">
        <f t="shared" si="226"/>
        <v>680</v>
      </c>
      <c r="J607" t="s">
        <v>163</v>
      </c>
      <c r="K607">
        <v>131</v>
      </c>
      <c r="M607">
        <f t="shared" ref="M607" si="235">+K607*G607</f>
        <v>524</v>
      </c>
      <c r="N607">
        <f t="shared" ref="N607" si="236">+I607-M607</f>
        <v>156</v>
      </c>
    </row>
    <row r="608" spans="1:14" ht="15" customHeight="1" x14ac:dyDescent="0.25">
      <c r="A608">
        <v>159</v>
      </c>
      <c r="B608" s="1">
        <v>43871</v>
      </c>
      <c r="C608" t="s">
        <v>161</v>
      </c>
      <c r="D608" t="s">
        <v>24</v>
      </c>
      <c r="F608" t="s">
        <v>24</v>
      </c>
      <c r="G608">
        <v>3.2</v>
      </c>
      <c r="H608">
        <v>100</v>
      </c>
      <c r="I608">
        <f t="shared" si="226"/>
        <v>320</v>
      </c>
      <c r="J608" t="s">
        <v>186</v>
      </c>
      <c r="K608">
        <v>68.22</v>
      </c>
      <c r="M608">
        <f t="shared" ref="M608:M611" si="237">+K608*G608</f>
        <v>218.304</v>
      </c>
      <c r="N608">
        <f t="shared" ref="N608:N610" si="238">+I608-M608</f>
        <v>101.696</v>
      </c>
    </row>
    <row r="609" spans="1:14" ht="15" customHeight="1" x14ac:dyDescent="0.25">
      <c r="A609">
        <v>160</v>
      </c>
      <c r="B609" s="1">
        <v>43871</v>
      </c>
      <c r="C609" t="s">
        <v>161</v>
      </c>
      <c r="D609" t="s">
        <v>44</v>
      </c>
      <c r="F609" t="s">
        <v>133</v>
      </c>
      <c r="G609">
        <v>2</v>
      </c>
      <c r="H609">
        <v>35</v>
      </c>
      <c r="I609">
        <f t="shared" si="226"/>
        <v>70</v>
      </c>
      <c r="J609" t="s">
        <v>166</v>
      </c>
      <c r="K609">
        <v>22</v>
      </c>
      <c r="M609">
        <f t="shared" si="237"/>
        <v>44</v>
      </c>
      <c r="N609">
        <f t="shared" si="238"/>
        <v>26</v>
      </c>
    </row>
    <row r="610" spans="1:14" ht="15" customHeight="1" x14ac:dyDescent="0.25">
      <c r="A610">
        <v>161</v>
      </c>
      <c r="B610" s="1">
        <v>43871</v>
      </c>
      <c r="C610" t="s">
        <v>161</v>
      </c>
      <c r="D610" t="s">
        <v>25</v>
      </c>
      <c r="F610" t="s">
        <v>172</v>
      </c>
      <c r="G610">
        <v>3</v>
      </c>
      <c r="H610">
        <v>100</v>
      </c>
      <c r="I610">
        <f t="shared" si="226"/>
        <v>300</v>
      </c>
      <c r="J610" t="s">
        <v>163</v>
      </c>
      <c r="K610">
        <v>76</v>
      </c>
      <c r="M610">
        <f t="shared" si="237"/>
        <v>228</v>
      </c>
      <c r="N610">
        <f t="shared" si="238"/>
        <v>72</v>
      </c>
    </row>
    <row r="611" spans="1:14" ht="15" customHeight="1" x14ac:dyDescent="0.25">
      <c r="A611">
        <v>162</v>
      </c>
      <c r="B611" s="1">
        <v>43871</v>
      </c>
      <c r="C611" t="s">
        <v>161</v>
      </c>
      <c r="D611" t="s">
        <v>75</v>
      </c>
      <c r="F611" t="s">
        <v>214</v>
      </c>
      <c r="G611">
        <v>14</v>
      </c>
      <c r="H611">
        <v>40</v>
      </c>
      <c r="I611">
        <f t="shared" si="226"/>
        <v>560</v>
      </c>
      <c r="J611" t="s">
        <v>163</v>
      </c>
      <c r="K611">
        <v>26</v>
      </c>
      <c r="M611">
        <f t="shared" si="237"/>
        <v>364</v>
      </c>
      <c r="N611">
        <f>+I611-M611</f>
        <v>196</v>
      </c>
    </row>
    <row r="612" spans="1:14" ht="15" customHeight="1" x14ac:dyDescent="0.25">
      <c r="A612">
        <v>163</v>
      </c>
      <c r="B612" s="1">
        <v>43871</v>
      </c>
      <c r="C612" t="s">
        <v>161</v>
      </c>
      <c r="D612" t="s">
        <v>15</v>
      </c>
      <c r="F612" t="s">
        <v>28</v>
      </c>
      <c r="G612">
        <f>10/9</f>
        <v>1.1111111111111112</v>
      </c>
      <c r="H612">
        <v>230</v>
      </c>
      <c r="I612">
        <f t="shared" si="226"/>
        <v>255.55555555555557</v>
      </c>
      <c r="J612" t="s">
        <v>163</v>
      </c>
      <c r="K612">
        <v>182</v>
      </c>
      <c r="M612" s="11">
        <f t="shared" ref="M612" si="239">+K612*G612</f>
        <v>202.22222222222223</v>
      </c>
      <c r="N612" s="11">
        <f t="shared" ref="N612" si="240">+I612-M612</f>
        <v>53.333333333333343</v>
      </c>
    </row>
    <row r="613" spans="1:14" ht="15" customHeight="1" x14ac:dyDescent="0.25">
      <c r="A613">
        <v>164</v>
      </c>
      <c r="B613" s="1">
        <v>43871</v>
      </c>
      <c r="C613" t="s">
        <v>161</v>
      </c>
      <c r="D613" t="s">
        <v>25</v>
      </c>
      <c r="F613" t="s">
        <v>147</v>
      </c>
      <c r="G613">
        <v>1</v>
      </c>
      <c r="H613">
        <v>60</v>
      </c>
      <c r="I613">
        <f t="shared" si="226"/>
        <v>60</v>
      </c>
      <c r="J613" t="s">
        <v>165</v>
      </c>
      <c r="K613">
        <f t="shared" ref="K613:K614" si="241">380/12</f>
        <v>31.666666666666668</v>
      </c>
      <c r="M613">
        <f t="shared" ref="M613:M614" si="242">+K613*G613</f>
        <v>31.666666666666668</v>
      </c>
      <c r="N613">
        <f t="shared" ref="N613:N614" si="243">+I613-M613</f>
        <v>28.333333333333332</v>
      </c>
    </row>
    <row r="614" spans="1:14" ht="15" customHeight="1" x14ac:dyDescent="0.25">
      <c r="A614">
        <v>165</v>
      </c>
      <c r="B614" s="1">
        <v>43871</v>
      </c>
      <c r="C614" t="s">
        <v>161</v>
      </c>
      <c r="D614" t="s">
        <v>25</v>
      </c>
      <c r="F614" t="s">
        <v>127</v>
      </c>
      <c r="G614">
        <v>1</v>
      </c>
      <c r="H614">
        <v>60</v>
      </c>
      <c r="I614">
        <f t="shared" si="226"/>
        <v>60</v>
      </c>
      <c r="J614" t="s">
        <v>165</v>
      </c>
      <c r="K614">
        <f t="shared" si="241"/>
        <v>31.666666666666668</v>
      </c>
      <c r="M614">
        <f t="shared" si="242"/>
        <v>31.666666666666668</v>
      </c>
      <c r="N614">
        <f t="shared" si="243"/>
        <v>28.333333333333332</v>
      </c>
    </row>
    <row r="615" spans="1:14" ht="15" customHeight="1" x14ac:dyDescent="0.25">
      <c r="A615">
        <v>166</v>
      </c>
      <c r="B615" s="1">
        <v>43871</v>
      </c>
      <c r="C615" t="s">
        <v>161</v>
      </c>
      <c r="D615" t="s">
        <v>55</v>
      </c>
      <c r="F615" t="s">
        <v>89</v>
      </c>
      <c r="G615">
        <f>7/17</f>
        <v>0.41176470588235292</v>
      </c>
      <c r="H615">
        <v>290</v>
      </c>
      <c r="I615">
        <f t="shared" si="226"/>
        <v>119.41176470588235</v>
      </c>
      <c r="J615" t="s">
        <v>13</v>
      </c>
      <c r="K615">
        <v>271</v>
      </c>
      <c r="M615">
        <f t="shared" ref="M615:M616" si="244">+K615*G615</f>
        <v>111.58823529411764</v>
      </c>
      <c r="N615">
        <f t="shared" ref="N615:N616" si="245">+I615-M615</f>
        <v>7.8235294117647101</v>
      </c>
    </row>
    <row r="616" spans="1:14" ht="15" customHeight="1" x14ac:dyDescent="0.25">
      <c r="A616">
        <v>167</v>
      </c>
      <c r="B616" s="1">
        <v>43871</v>
      </c>
      <c r="C616" t="s">
        <v>161</v>
      </c>
      <c r="D616" t="s">
        <v>15</v>
      </c>
      <c r="F616" t="s">
        <v>95</v>
      </c>
      <c r="G616">
        <v>3</v>
      </c>
      <c r="H616">
        <v>280</v>
      </c>
      <c r="I616">
        <f t="shared" si="226"/>
        <v>840</v>
      </c>
      <c r="J616" t="s">
        <v>163</v>
      </c>
      <c r="K616">
        <v>215</v>
      </c>
      <c r="M616">
        <f t="shared" si="244"/>
        <v>645</v>
      </c>
      <c r="N616">
        <f t="shared" si="245"/>
        <v>195</v>
      </c>
    </row>
    <row r="617" spans="1:14" ht="15" customHeight="1" x14ac:dyDescent="0.25">
      <c r="A617">
        <v>168</v>
      </c>
      <c r="B617" s="1">
        <v>43871</v>
      </c>
      <c r="C617" t="s">
        <v>161</v>
      </c>
      <c r="D617" t="s">
        <v>56</v>
      </c>
      <c r="F617" t="s">
        <v>267</v>
      </c>
      <c r="G617">
        <v>1</v>
      </c>
      <c r="H617">
        <v>170</v>
      </c>
      <c r="I617">
        <f t="shared" ref="I617:I681" si="246">+G617*H617</f>
        <v>170</v>
      </c>
      <c r="J617" t="s">
        <v>163</v>
      </c>
      <c r="K617">
        <v>131</v>
      </c>
      <c r="M617">
        <f t="shared" ref="M617" si="247">+K617*G617</f>
        <v>131</v>
      </c>
      <c r="N617">
        <f t="shared" ref="N617" si="248">+I617-M617</f>
        <v>39</v>
      </c>
    </row>
    <row r="618" spans="1:14" ht="15" customHeight="1" x14ac:dyDescent="0.25">
      <c r="A618">
        <v>169</v>
      </c>
      <c r="B618" s="1">
        <v>43871</v>
      </c>
      <c r="C618" t="s">
        <v>161</v>
      </c>
      <c r="D618" t="s">
        <v>44</v>
      </c>
      <c r="F618" t="s">
        <v>138</v>
      </c>
      <c r="G618">
        <v>1</v>
      </c>
      <c r="H618">
        <v>35</v>
      </c>
      <c r="I618">
        <f t="shared" si="246"/>
        <v>35</v>
      </c>
      <c r="J618" t="s">
        <v>166</v>
      </c>
      <c r="K618">
        <v>22</v>
      </c>
      <c r="M618">
        <f t="shared" ref="M618:M619" si="249">+K618*G618</f>
        <v>22</v>
      </c>
      <c r="N618">
        <f t="shared" ref="N618:N619" si="250">+I618-M618</f>
        <v>13</v>
      </c>
    </row>
    <row r="619" spans="1:14" ht="15" customHeight="1" x14ac:dyDescent="0.25">
      <c r="A619">
        <v>170</v>
      </c>
      <c r="B619" s="1">
        <v>43871</v>
      </c>
      <c r="C619" t="s">
        <v>161</v>
      </c>
      <c r="D619" t="s">
        <v>15</v>
      </c>
      <c r="F619" t="s">
        <v>29</v>
      </c>
      <c r="G619">
        <v>38</v>
      </c>
      <c r="H619">
        <v>230</v>
      </c>
      <c r="I619">
        <f t="shared" si="246"/>
        <v>8740</v>
      </c>
      <c r="J619" t="s">
        <v>163</v>
      </c>
      <c r="K619">
        <v>196</v>
      </c>
      <c r="M619">
        <f t="shared" si="249"/>
        <v>7448</v>
      </c>
      <c r="N619">
        <f t="shared" si="250"/>
        <v>1292</v>
      </c>
    </row>
    <row r="620" spans="1:14" ht="15" customHeight="1" x14ac:dyDescent="0.25">
      <c r="A620">
        <v>171</v>
      </c>
      <c r="B620" s="1">
        <v>43871</v>
      </c>
      <c r="C620" t="s">
        <v>161</v>
      </c>
      <c r="D620" t="s">
        <v>25</v>
      </c>
      <c r="F620" t="s">
        <v>127</v>
      </c>
      <c r="G620">
        <v>4</v>
      </c>
      <c r="H620">
        <v>60</v>
      </c>
      <c r="I620">
        <f t="shared" si="246"/>
        <v>240</v>
      </c>
      <c r="J620" t="s">
        <v>165</v>
      </c>
      <c r="K620">
        <f>380/12</f>
        <v>31.666666666666668</v>
      </c>
      <c r="M620">
        <f t="shared" ref="M620:M621" si="251">+K620*G620</f>
        <v>126.66666666666667</v>
      </c>
      <c r="N620">
        <f t="shared" ref="N620:N621" si="252">+I620-M620</f>
        <v>113.33333333333333</v>
      </c>
    </row>
    <row r="621" spans="1:14" ht="15" customHeight="1" x14ac:dyDescent="0.25">
      <c r="A621">
        <v>172</v>
      </c>
      <c r="B621" s="1">
        <v>43871</v>
      </c>
      <c r="C621" t="s">
        <v>161</v>
      </c>
      <c r="D621" t="s">
        <v>56</v>
      </c>
      <c r="F621" t="s">
        <v>267</v>
      </c>
      <c r="G621">
        <v>15</v>
      </c>
      <c r="H621">
        <v>170</v>
      </c>
      <c r="I621">
        <f t="shared" si="246"/>
        <v>2550</v>
      </c>
      <c r="J621" t="s">
        <v>163</v>
      </c>
      <c r="K621">
        <v>131</v>
      </c>
      <c r="M621">
        <f t="shared" si="251"/>
        <v>1965</v>
      </c>
      <c r="N621">
        <f t="shared" si="252"/>
        <v>585</v>
      </c>
    </row>
    <row r="622" spans="1:14" ht="15" customHeight="1" x14ac:dyDescent="0.25">
      <c r="A622">
        <v>173</v>
      </c>
      <c r="B622" s="1">
        <v>43871</v>
      </c>
      <c r="C622" t="s">
        <v>161</v>
      </c>
      <c r="D622" t="s">
        <v>44</v>
      </c>
      <c r="F622" t="s">
        <v>138</v>
      </c>
      <c r="G622">
        <v>2</v>
      </c>
      <c r="H622">
        <v>35</v>
      </c>
      <c r="I622">
        <f t="shared" si="246"/>
        <v>70</v>
      </c>
      <c r="J622" t="s">
        <v>166</v>
      </c>
      <c r="K622">
        <v>22</v>
      </c>
      <c r="M622">
        <f t="shared" ref="M622:M623" si="253">+K622*G622</f>
        <v>44</v>
      </c>
      <c r="N622">
        <f t="shared" ref="N622" si="254">+I622-M622</f>
        <v>26</v>
      </c>
    </row>
    <row r="623" spans="1:14" ht="15" customHeight="1" x14ac:dyDescent="0.25">
      <c r="A623">
        <v>174</v>
      </c>
      <c r="B623" s="1">
        <v>43871</v>
      </c>
      <c r="C623" t="s">
        <v>161</v>
      </c>
      <c r="D623" t="s">
        <v>23</v>
      </c>
      <c r="F623" t="s">
        <v>215</v>
      </c>
      <c r="G623">
        <v>3</v>
      </c>
      <c r="H623">
        <v>35</v>
      </c>
      <c r="I623">
        <f t="shared" si="246"/>
        <v>105</v>
      </c>
      <c r="J623" t="s">
        <v>187</v>
      </c>
      <c r="K623">
        <v>26</v>
      </c>
      <c r="M623">
        <f t="shared" si="253"/>
        <v>78</v>
      </c>
      <c r="N623">
        <f>+I623-M623</f>
        <v>27</v>
      </c>
    </row>
    <row r="624" spans="1:14" ht="15" customHeight="1" x14ac:dyDescent="0.25">
      <c r="A624">
        <v>175</v>
      </c>
      <c r="B624" s="1">
        <v>43872</v>
      </c>
      <c r="C624" t="s">
        <v>161</v>
      </c>
      <c r="D624" t="s">
        <v>15</v>
      </c>
      <c r="F624" t="s">
        <v>28</v>
      </c>
      <c r="G624">
        <v>14</v>
      </c>
      <c r="H624">
        <v>230</v>
      </c>
      <c r="I624">
        <f t="shared" si="246"/>
        <v>3220</v>
      </c>
      <c r="J624" t="s">
        <v>163</v>
      </c>
      <c r="K624">
        <v>182</v>
      </c>
      <c r="M624" s="11">
        <f t="shared" ref="M624" si="255">+K624*G624</f>
        <v>2548</v>
      </c>
      <c r="N624" s="11">
        <f t="shared" ref="N624" si="256">+I624-M624</f>
        <v>672</v>
      </c>
    </row>
    <row r="625" spans="1:14" ht="15" customHeight="1" x14ac:dyDescent="0.25">
      <c r="A625">
        <v>176</v>
      </c>
      <c r="B625" s="1">
        <v>43872</v>
      </c>
      <c r="C625" t="s">
        <v>161</v>
      </c>
      <c r="D625" t="s">
        <v>85</v>
      </c>
      <c r="F625" t="s">
        <v>216</v>
      </c>
      <c r="G625">
        <v>1</v>
      </c>
      <c r="H625">
        <v>900</v>
      </c>
      <c r="I625">
        <f t="shared" si="246"/>
        <v>900</v>
      </c>
      <c r="J625" t="s">
        <v>167</v>
      </c>
      <c r="K625">
        <v>470</v>
      </c>
      <c r="M625">
        <f t="shared" ref="M625:M626" si="257">+K625*G625</f>
        <v>470</v>
      </c>
      <c r="N625">
        <f t="shared" ref="N625:N626" si="258">+I625-M625</f>
        <v>430</v>
      </c>
    </row>
    <row r="626" spans="1:14" ht="15" customHeight="1" x14ac:dyDescent="0.25">
      <c r="A626">
        <v>177</v>
      </c>
      <c r="B626" s="1">
        <v>43872</v>
      </c>
      <c r="C626" t="s">
        <v>161</v>
      </c>
      <c r="D626" t="s">
        <v>15</v>
      </c>
      <c r="F626" t="s">
        <v>204</v>
      </c>
      <c r="G626">
        <v>2.66</v>
      </c>
      <c r="H626">
        <v>290</v>
      </c>
      <c r="I626">
        <f t="shared" si="246"/>
        <v>771.40000000000009</v>
      </c>
      <c r="J626" t="s">
        <v>163</v>
      </c>
      <c r="K626">
        <v>270.5</v>
      </c>
      <c r="M626">
        <f t="shared" si="257"/>
        <v>719.53000000000009</v>
      </c>
      <c r="N626">
        <f t="shared" si="258"/>
        <v>51.870000000000005</v>
      </c>
    </row>
    <row r="627" spans="1:14" ht="15" customHeight="1" x14ac:dyDescent="0.25">
      <c r="A627">
        <v>178</v>
      </c>
      <c r="B627" s="1">
        <v>43872</v>
      </c>
      <c r="C627" t="s">
        <v>161</v>
      </c>
      <c r="D627" t="s">
        <v>70</v>
      </c>
      <c r="F627" t="s">
        <v>152</v>
      </c>
      <c r="G627">
        <v>2</v>
      </c>
      <c r="H627">
        <v>85</v>
      </c>
      <c r="I627">
        <f t="shared" si="246"/>
        <v>170</v>
      </c>
      <c r="J627" t="s">
        <v>163</v>
      </c>
      <c r="K627">
        <v>67</v>
      </c>
      <c r="M627">
        <f t="shared" ref="M627" si="259">+K627*G627</f>
        <v>134</v>
      </c>
      <c r="N627">
        <f t="shared" ref="N627" si="260">+I627-M627</f>
        <v>36</v>
      </c>
    </row>
    <row r="628" spans="1:14" ht="15" customHeight="1" x14ac:dyDescent="0.25">
      <c r="A628">
        <v>179</v>
      </c>
      <c r="B628" s="1">
        <v>43872</v>
      </c>
      <c r="C628" t="s">
        <v>161</v>
      </c>
      <c r="D628" t="s">
        <v>78</v>
      </c>
      <c r="F628" t="s">
        <v>217</v>
      </c>
      <c r="G628">
        <v>1</v>
      </c>
      <c r="H628">
        <v>720</v>
      </c>
      <c r="I628">
        <f t="shared" si="246"/>
        <v>720</v>
      </c>
      <c r="J628" t="s">
        <v>166</v>
      </c>
      <c r="K628">
        <v>517</v>
      </c>
      <c r="M628">
        <f t="shared" ref="M628:M630" si="261">+K628*G628</f>
        <v>517</v>
      </c>
      <c r="N628">
        <f t="shared" ref="N628:N630" si="262">+I628-M628</f>
        <v>203</v>
      </c>
    </row>
    <row r="629" spans="1:14" ht="15" customHeight="1" x14ac:dyDescent="0.25">
      <c r="A629">
        <v>180</v>
      </c>
      <c r="B629" s="1">
        <v>43872</v>
      </c>
      <c r="C629" t="s">
        <v>161</v>
      </c>
      <c r="D629" t="s">
        <v>25</v>
      </c>
      <c r="F629" t="s">
        <v>218</v>
      </c>
      <c r="G629">
        <v>2</v>
      </c>
      <c r="H629">
        <v>100</v>
      </c>
      <c r="I629">
        <f t="shared" si="246"/>
        <v>200</v>
      </c>
      <c r="J629" t="s">
        <v>163</v>
      </c>
      <c r="K629">
        <v>76</v>
      </c>
      <c r="M629">
        <f t="shared" si="261"/>
        <v>152</v>
      </c>
      <c r="N629">
        <f t="shared" si="262"/>
        <v>48</v>
      </c>
    </row>
    <row r="630" spans="1:14" ht="15" customHeight="1" x14ac:dyDescent="0.25">
      <c r="A630">
        <v>181</v>
      </c>
      <c r="B630" s="1">
        <v>43872</v>
      </c>
      <c r="C630" t="s">
        <v>161</v>
      </c>
      <c r="D630" t="s">
        <v>15</v>
      </c>
      <c r="F630" t="s">
        <v>63</v>
      </c>
      <c r="G630">
        <f>6/9</f>
        <v>0.66666666666666663</v>
      </c>
      <c r="H630">
        <v>240</v>
      </c>
      <c r="I630">
        <f t="shared" si="246"/>
        <v>160</v>
      </c>
      <c r="J630" t="s">
        <v>163</v>
      </c>
      <c r="K630">
        <v>205</v>
      </c>
      <c r="M630">
        <f t="shared" si="261"/>
        <v>136.66666666666666</v>
      </c>
      <c r="N630">
        <f t="shared" si="262"/>
        <v>23.333333333333343</v>
      </c>
    </row>
    <row r="631" spans="1:14" ht="15" customHeight="1" x14ac:dyDescent="0.25">
      <c r="A631">
        <v>182</v>
      </c>
      <c r="B631" s="1">
        <v>43872</v>
      </c>
      <c r="C631" t="s">
        <v>161</v>
      </c>
      <c r="D631" t="s">
        <v>56</v>
      </c>
      <c r="F631" t="s">
        <v>38</v>
      </c>
      <c r="G631">
        <v>1</v>
      </c>
      <c r="H631">
        <v>110</v>
      </c>
      <c r="I631">
        <f t="shared" si="246"/>
        <v>110</v>
      </c>
      <c r="J631" t="s">
        <v>164</v>
      </c>
      <c r="K631">
        <v>70</v>
      </c>
      <c r="M631">
        <f t="shared" ref="M631:M633" si="263">+K631*G631</f>
        <v>70</v>
      </c>
      <c r="N631">
        <f t="shared" ref="N631:N633" si="264">+I631-M631</f>
        <v>40</v>
      </c>
    </row>
    <row r="632" spans="1:14" ht="15" customHeight="1" x14ac:dyDescent="0.25">
      <c r="A632">
        <v>183</v>
      </c>
      <c r="B632" s="1">
        <v>43872</v>
      </c>
      <c r="C632" t="s">
        <v>161</v>
      </c>
      <c r="D632" t="s">
        <v>15</v>
      </c>
      <c r="F632" t="s">
        <v>28</v>
      </c>
      <c r="G632">
        <v>1.53</v>
      </c>
      <c r="H632">
        <v>230</v>
      </c>
      <c r="I632">
        <f t="shared" si="246"/>
        <v>351.90000000000003</v>
      </c>
      <c r="J632" t="s">
        <v>163</v>
      </c>
      <c r="K632">
        <v>182</v>
      </c>
      <c r="M632" s="11">
        <f t="shared" si="263"/>
        <v>278.45999999999998</v>
      </c>
      <c r="N632" s="11">
        <f t="shared" si="264"/>
        <v>73.440000000000055</v>
      </c>
    </row>
    <row r="633" spans="1:14" ht="15" customHeight="1" x14ac:dyDescent="0.25">
      <c r="A633">
        <v>184</v>
      </c>
      <c r="B633" s="1">
        <v>43872</v>
      </c>
      <c r="C633" t="s">
        <v>161</v>
      </c>
      <c r="D633" t="s">
        <v>15</v>
      </c>
      <c r="F633" t="s">
        <v>52</v>
      </c>
      <c r="G633">
        <v>12</v>
      </c>
      <c r="H633">
        <v>240</v>
      </c>
      <c r="I633">
        <f t="shared" si="246"/>
        <v>2880</v>
      </c>
      <c r="J633" t="s">
        <v>163</v>
      </c>
      <c r="K633">
        <v>201</v>
      </c>
      <c r="M633">
        <f t="shared" si="263"/>
        <v>2412</v>
      </c>
      <c r="N633">
        <f t="shared" si="264"/>
        <v>468</v>
      </c>
    </row>
    <row r="634" spans="1:14" ht="15" customHeight="1" x14ac:dyDescent="0.25">
      <c r="A634">
        <v>185</v>
      </c>
      <c r="B634" s="1">
        <v>43872</v>
      </c>
      <c r="C634" t="s">
        <v>161</v>
      </c>
      <c r="D634" t="s">
        <v>44</v>
      </c>
      <c r="F634" t="s">
        <v>138</v>
      </c>
      <c r="G634">
        <v>1</v>
      </c>
      <c r="H634">
        <v>35</v>
      </c>
      <c r="I634">
        <f t="shared" si="246"/>
        <v>35</v>
      </c>
      <c r="J634" t="s">
        <v>166</v>
      </c>
      <c r="K634">
        <v>22</v>
      </c>
      <c r="M634">
        <f t="shared" ref="M634" si="265">+K634*G634</f>
        <v>22</v>
      </c>
      <c r="N634">
        <f t="shared" ref="N634" si="266">+I634-M634</f>
        <v>13</v>
      </c>
    </row>
    <row r="635" spans="1:14" ht="15" customHeight="1" x14ac:dyDescent="0.25">
      <c r="A635">
        <v>186</v>
      </c>
      <c r="B635" s="1">
        <v>43872</v>
      </c>
      <c r="C635" t="s">
        <v>161</v>
      </c>
      <c r="D635" t="s">
        <v>24</v>
      </c>
      <c r="F635" t="s">
        <v>24</v>
      </c>
      <c r="G635">
        <v>2</v>
      </c>
      <c r="H635">
        <v>100</v>
      </c>
      <c r="I635">
        <f t="shared" si="246"/>
        <v>200</v>
      </c>
      <c r="J635" t="s">
        <v>186</v>
      </c>
      <c r="K635">
        <v>68.22</v>
      </c>
      <c r="M635">
        <f t="shared" ref="M635:M636" si="267">+K635*G635</f>
        <v>136.44</v>
      </c>
      <c r="N635">
        <f t="shared" ref="N635:N636" si="268">+I635-M635</f>
        <v>63.56</v>
      </c>
    </row>
    <row r="636" spans="1:14" ht="15" customHeight="1" x14ac:dyDescent="0.25">
      <c r="A636">
        <v>187</v>
      </c>
      <c r="B636" s="1">
        <v>43872</v>
      </c>
      <c r="C636" t="s">
        <v>161</v>
      </c>
      <c r="D636" t="s">
        <v>15</v>
      </c>
      <c r="F636" t="s">
        <v>54</v>
      </c>
      <c r="G636">
        <f>1/4.32</f>
        <v>0.23148148148148145</v>
      </c>
      <c r="H636">
        <v>240</v>
      </c>
      <c r="I636">
        <f t="shared" si="246"/>
        <v>55.55555555555555</v>
      </c>
      <c r="J636" t="s">
        <v>163</v>
      </c>
      <c r="K636">
        <v>212</v>
      </c>
      <c r="M636">
        <f t="shared" si="267"/>
        <v>49.074074074074069</v>
      </c>
      <c r="N636">
        <f t="shared" si="268"/>
        <v>6.481481481481481</v>
      </c>
    </row>
    <row r="637" spans="1:14" ht="15" customHeight="1" x14ac:dyDescent="0.25">
      <c r="A637">
        <v>188</v>
      </c>
      <c r="B637" s="1">
        <v>43872</v>
      </c>
      <c r="C637" t="s">
        <v>161</v>
      </c>
      <c r="D637" t="s">
        <v>55</v>
      </c>
      <c r="F637" t="s">
        <v>22</v>
      </c>
      <c r="G637">
        <f>2/17</f>
        <v>0.11764705882352941</v>
      </c>
      <c r="H637">
        <v>290</v>
      </c>
      <c r="I637">
        <f t="shared" si="246"/>
        <v>34.117647058823529</v>
      </c>
      <c r="J637" t="s">
        <v>13</v>
      </c>
      <c r="K637">
        <v>271</v>
      </c>
      <c r="M637">
        <f t="shared" ref="M637:M638" si="269">+K637*G637</f>
        <v>31.882352941176471</v>
      </c>
      <c r="N637">
        <f t="shared" ref="N637:N638" si="270">+I637-M637</f>
        <v>2.235294117647058</v>
      </c>
    </row>
    <row r="638" spans="1:14" ht="15" customHeight="1" x14ac:dyDescent="0.25">
      <c r="A638">
        <v>189</v>
      </c>
      <c r="B638" s="1">
        <v>43872</v>
      </c>
      <c r="C638" t="s">
        <v>161</v>
      </c>
      <c r="D638" t="s">
        <v>15</v>
      </c>
      <c r="F638" t="s">
        <v>54</v>
      </c>
      <c r="G638">
        <v>2.31</v>
      </c>
      <c r="H638">
        <v>240</v>
      </c>
      <c r="I638">
        <f t="shared" si="246"/>
        <v>554.4</v>
      </c>
      <c r="J638" t="s">
        <v>163</v>
      </c>
      <c r="K638">
        <v>212</v>
      </c>
      <c r="M638">
        <f t="shared" si="269"/>
        <v>489.72</v>
      </c>
      <c r="N638">
        <f t="shared" si="270"/>
        <v>64.67999999999995</v>
      </c>
    </row>
    <row r="639" spans="1:14" ht="15" customHeight="1" x14ac:dyDescent="0.25">
      <c r="A639">
        <v>190</v>
      </c>
      <c r="B639" s="1">
        <v>43872</v>
      </c>
      <c r="C639" t="s">
        <v>161</v>
      </c>
      <c r="D639" t="s">
        <v>56</v>
      </c>
      <c r="F639" t="s">
        <v>38</v>
      </c>
      <c r="G639">
        <v>2</v>
      </c>
      <c r="H639">
        <v>110</v>
      </c>
      <c r="I639">
        <f t="shared" si="246"/>
        <v>220</v>
      </c>
      <c r="J639" t="s">
        <v>164</v>
      </c>
      <c r="K639">
        <v>70</v>
      </c>
      <c r="M639">
        <f t="shared" ref="M639:M640" si="271">+K639*G639</f>
        <v>140</v>
      </c>
      <c r="N639">
        <f t="shared" ref="N639" si="272">+I639-M639</f>
        <v>80</v>
      </c>
    </row>
    <row r="640" spans="1:14" ht="15" customHeight="1" x14ac:dyDescent="0.25">
      <c r="A640">
        <v>191</v>
      </c>
      <c r="B640" s="1">
        <v>43872</v>
      </c>
      <c r="C640" t="s">
        <v>161</v>
      </c>
      <c r="D640" t="s">
        <v>15</v>
      </c>
      <c r="F640" t="s">
        <v>219</v>
      </c>
      <c r="G640">
        <v>5</v>
      </c>
      <c r="H640">
        <v>230</v>
      </c>
      <c r="I640">
        <f t="shared" si="246"/>
        <v>1150</v>
      </c>
      <c r="J640" t="s">
        <v>163</v>
      </c>
      <c r="K640">
        <v>196</v>
      </c>
      <c r="M640">
        <f t="shared" si="271"/>
        <v>980</v>
      </c>
      <c r="N640">
        <f>+I640-M640</f>
        <v>170</v>
      </c>
    </row>
    <row r="641" spans="1:14" ht="15" customHeight="1" x14ac:dyDescent="0.25">
      <c r="A641">
        <v>192</v>
      </c>
      <c r="B641" s="1">
        <v>43872</v>
      </c>
      <c r="C641" t="s">
        <v>161</v>
      </c>
      <c r="D641" t="s">
        <v>15</v>
      </c>
      <c r="F641" t="s">
        <v>52</v>
      </c>
      <c r="G641">
        <v>2.15</v>
      </c>
      <c r="H641">
        <v>240</v>
      </c>
      <c r="I641">
        <f t="shared" si="246"/>
        <v>516</v>
      </c>
      <c r="J641" t="s">
        <v>163</v>
      </c>
      <c r="K641">
        <v>201</v>
      </c>
      <c r="M641">
        <f t="shared" ref="M641" si="273">+K641*G641</f>
        <v>432.15</v>
      </c>
      <c r="N641">
        <f t="shared" ref="N641" si="274">+I641-M641</f>
        <v>83.850000000000023</v>
      </c>
    </row>
    <row r="642" spans="1:14" ht="15" customHeight="1" x14ac:dyDescent="0.25">
      <c r="A642">
        <v>193</v>
      </c>
      <c r="B642" s="1">
        <v>43872</v>
      </c>
      <c r="C642" t="s">
        <v>161</v>
      </c>
      <c r="D642" t="s">
        <v>56</v>
      </c>
      <c r="F642" t="s">
        <v>267</v>
      </c>
      <c r="G642">
        <v>4</v>
      </c>
      <c r="H642">
        <v>170</v>
      </c>
      <c r="I642">
        <f t="shared" si="246"/>
        <v>680</v>
      </c>
      <c r="J642" t="s">
        <v>163</v>
      </c>
      <c r="K642">
        <v>131</v>
      </c>
      <c r="M642">
        <f t="shared" ref="M642" si="275">+K642*G642</f>
        <v>524</v>
      </c>
      <c r="N642">
        <f t="shared" ref="N642" si="276">+I642-M642</f>
        <v>156</v>
      </c>
    </row>
    <row r="643" spans="1:14" ht="15" customHeight="1" x14ac:dyDescent="0.25">
      <c r="A643">
        <v>194</v>
      </c>
      <c r="B643" s="1">
        <v>43872</v>
      </c>
      <c r="C643" t="s">
        <v>161</v>
      </c>
      <c r="D643" t="s">
        <v>44</v>
      </c>
      <c r="F643" t="s">
        <v>133</v>
      </c>
      <c r="G643">
        <v>1</v>
      </c>
      <c r="H643">
        <v>35</v>
      </c>
      <c r="I643">
        <f t="shared" si="246"/>
        <v>35</v>
      </c>
      <c r="J643" t="s">
        <v>166</v>
      </c>
      <c r="K643">
        <v>22</v>
      </c>
      <c r="M643">
        <f t="shared" ref="M643:M647" si="277">+K643*G643</f>
        <v>22</v>
      </c>
      <c r="N643">
        <f t="shared" ref="N643:N647" si="278">+I643-M643</f>
        <v>13</v>
      </c>
    </row>
    <row r="644" spans="1:14" ht="15" customHeight="1" x14ac:dyDescent="0.25">
      <c r="A644">
        <v>195</v>
      </c>
      <c r="B644" s="1">
        <v>43872</v>
      </c>
      <c r="C644" t="s">
        <v>161</v>
      </c>
      <c r="D644" t="s">
        <v>25</v>
      </c>
      <c r="F644" t="s">
        <v>128</v>
      </c>
      <c r="G644">
        <v>2</v>
      </c>
      <c r="H644">
        <v>60</v>
      </c>
      <c r="I644">
        <f t="shared" si="246"/>
        <v>120</v>
      </c>
      <c r="J644" t="s">
        <v>165</v>
      </c>
      <c r="K644">
        <f>380/12</f>
        <v>31.666666666666668</v>
      </c>
      <c r="M644">
        <f t="shared" si="277"/>
        <v>63.333333333333336</v>
      </c>
      <c r="N644">
        <f t="shared" si="278"/>
        <v>56.666666666666664</v>
      </c>
    </row>
    <row r="645" spans="1:14" ht="15" customHeight="1" x14ac:dyDescent="0.25">
      <c r="A645">
        <v>196</v>
      </c>
      <c r="B645" s="1">
        <v>43872</v>
      </c>
      <c r="C645" t="s">
        <v>161</v>
      </c>
      <c r="D645" t="s">
        <v>25</v>
      </c>
      <c r="F645" t="s">
        <v>203</v>
      </c>
      <c r="G645">
        <v>1</v>
      </c>
      <c r="H645">
        <v>100</v>
      </c>
      <c r="I645">
        <f t="shared" si="246"/>
        <v>100</v>
      </c>
      <c r="J645" t="s">
        <v>163</v>
      </c>
      <c r="K645">
        <v>76</v>
      </c>
      <c r="M645">
        <f t="shared" si="277"/>
        <v>76</v>
      </c>
      <c r="N645">
        <f t="shared" si="278"/>
        <v>24</v>
      </c>
    </row>
    <row r="646" spans="1:14" ht="15" customHeight="1" x14ac:dyDescent="0.25">
      <c r="A646">
        <v>197</v>
      </c>
      <c r="B646" s="1">
        <v>43872</v>
      </c>
      <c r="C646" t="s">
        <v>161</v>
      </c>
      <c r="D646" t="s">
        <v>25</v>
      </c>
      <c r="F646" t="s">
        <v>139</v>
      </c>
      <c r="G646">
        <v>1</v>
      </c>
      <c r="H646">
        <v>100</v>
      </c>
      <c r="I646">
        <f t="shared" si="246"/>
        <v>100</v>
      </c>
      <c r="J646" t="s">
        <v>163</v>
      </c>
      <c r="K646">
        <v>76</v>
      </c>
      <c r="M646">
        <f t="shared" si="277"/>
        <v>76</v>
      </c>
      <c r="N646">
        <f t="shared" si="278"/>
        <v>24</v>
      </c>
    </row>
    <row r="647" spans="1:14" ht="15" customHeight="1" x14ac:dyDescent="0.25">
      <c r="A647">
        <v>198</v>
      </c>
      <c r="B647" s="1">
        <v>43872</v>
      </c>
      <c r="C647" t="s">
        <v>161</v>
      </c>
      <c r="D647" t="s">
        <v>15</v>
      </c>
      <c r="F647" t="s">
        <v>54</v>
      </c>
      <c r="G647">
        <v>24</v>
      </c>
      <c r="H647">
        <v>240</v>
      </c>
      <c r="I647">
        <f t="shared" si="246"/>
        <v>5760</v>
      </c>
      <c r="J647" t="s">
        <v>163</v>
      </c>
      <c r="K647">
        <v>212</v>
      </c>
      <c r="M647">
        <f t="shared" si="277"/>
        <v>5088</v>
      </c>
      <c r="N647">
        <f t="shared" si="278"/>
        <v>672</v>
      </c>
    </row>
    <row r="648" spans="1:14" ht="15" customHeight="1" x14ac:dyDescent="0.25">
      <c r="A648">
        <v>199</v>
      </c>
      <c r="B648" s="1">
        <v>43872</v>
      </c>
      <c r="C648" t="s">
        <v>161</v>
      </c>
      <c r="D648" t="s">
        <v>55</v>
      </c>
      <c r="F648" t="s">
        <v>61</v>
      </c>
      <c r="G648">
        <v>4</v>
      </c>
      <c r="H648">
        <v>230</v>
      </c>
      <c r="I648">
        <f t="shared" si="246"/>
        <v>920</v>
      </c>
      <c r="J648" t="s">
        <v>163</v>
      </c>
      <c r="K648">
        <v>203</v>
      </c>
      <c r="M648">
        <f>+K648*G648</f>
        <v>812</v>
      </c>
      <c r="N648">
        <f>+I648-M648</f>
        <v>108</v>
      </c>
    </row>
    <row r="649" spans="1:14" ht="15" customHeight="1" x14ac:dyDescent="0.25">
      <c r="A649">
        <v>200</v>
      </c>
      <c r="B649" s="1">
        <v>43872</v>
      </c>
      <c r="C649" t="s">
        <v>161</v>
      </c>
      <c r="D649" t="s">
        <v>56</v>
      </c>
      <c r="F649" t="s">
        <v>267</v>
      </c>
      <c r="G649">
        <v>1</v>
      </c>
      <c r="H649">
        <v>170</v>
      </c>
      <c r="I649">
        <f t="shared" si="246"/>
        <v>170</v>
      </c>
      <c r="J649" t="s">
        <v>163</v>
      </c>
      <c r="K649">
        <v>131</v>
      </c>
      <c r="M649">
        <f t="shared" ref="M649:M652" si="279">+K649*G649</f>
        <v>131</v>
      </c>
      <c r="N649">
        <f t="shared" ref="N649:N651" si="280">+I649-M649</f>
        <v>39</v>
      </c>
    </row>
    <row r="650" spans="1:14" ht="15" customHeight="1" x14ac:dyDescent="0.25">
      <c r="A650">
        <v>201</v>
      </c>
      <c r="B650" s="1">
        <v>43873</v>
      </c>
      <c r="C650" t="s">
        <v>161</v>
      </c>
      <c r="D650" t="s">
        <v>15</v>
      </c>
      <c r="F650" t="s">
        <v>20</v>
      </c>
      <c r="G650">
        <v>95</v>
      </c>
      <c r="H650">
        <v>240</v>
      </c>
      <c r="I650">
        <f t="shared" si="246"/>
        <v>22800</v>
      </c>
      <c r="J650" t="s">
        <v>163</v>
      </c>
      <c r="K650">
        <v>217</v>
      </c>
      <c r="M650">
        <f t="shared" si="279"/>
        <v>20615</v>
      </c>
      <c r="N650">
        <f t="shared" si="280"/>
        <v>2185</v>
      </c>
    </row>
    <row r="651" spans="1:14" x14ac:dyDescent="0.25">
      <c r="A651">
        <v>202</v>
      </c>
      <c r="B651" s="1">
        <v>43873</v>
      </c>
      <c r="C651" t="s">
        <v>161</v>
      </c>
      <c r="D651" t="s">
        <v>15</v>
      </c>
      <c r="F651" t="s">
        <v>76</v>
      </c>
      <c r="G651">
        <f>10/8</f>
        <v>1.25</v>
      </c>
      <c r="H651">
        <v>230</v>
      </c>
      <c r="I651">
        <f t="shared" si="246"/>
        <v>287.5</v>
      </c>
      <c r="J651" t="s">
        <v>163</v>
      </c>
      <c r="K651">
        <v>177</v>
      </c>
      <c r="M651">
        <f t="shared" si="279"/>
        <v>221.25</v>
      </c>
      <c r="N651">
        <f t="shared" si="280"/>
        <v>66.25</v>
      </c>
    </row>
    <row r="652" spans="1:14" ht="15" customHeight="1" x14ac:dyDescent="0.25">
      <c r="A652">
        <v>203</v>
      </c>
      <c r="B652" s="1">
        <v>43873</v>
      </c>
      <c r="C652" t="s">
        <v>161</v>
      </c>
      <c r="D652" t="s">
        <v>70</v>
      </c>
      <c r="F652" t="s">
        <v>220</v>
      </c>
      <c r="G652">
        <v>1</v>
      </c>
      <c r="H652">
        <v>100</v>
      </c>
      <c r="I652">
        <f t="shared" si="246"/>
        <v>100</v>
      </c>
      <c r="J652" t="s">
        <v>163</v>
      </c>
      <c r="K652">
        <v>68</v>
      </c>
      <c r="M652">
        <f t="shared" si="279"/>
        <v>68</v>
      </c>
      <c r="N652">
        <f>+I652-M652</f>
        <v>32</v>
      </c>
    </row>
    <row r="653" spans="1:14" ht="15" customHeight="1" x14ac:dyDescent="0.25">
      <c r="A653">
        <v>204</v>
      </c>
      <c r="B653" s="1">
        <v>43873</v>
      </c>
      <c r="C653" t="s">
        <v>161</v>
      </c>
      <c r="D653" t="s">
        <v>15</v>
      </c>
      <c r="F653" t="s">
        <v>29</v>
      </c>
      <c r="G653">
        <v>4</v>
      </c>
      <c r="H653">
        <v>230</v>
      </c>
      <c r="I653">
        <f t="shared" si="246"/>
        <v>920</v>
      </c>
      <c r="J653" t="s">
        <v>163</v>
      </c>
      <c r="K653">
        <v>196</v>
      </c>
      <c r="M653">
        <f t="shared" ref="M653" si="281">+K653*G653</f>
        <v>784</v>
      </c>
      <c r="N653">
        <f t="shared" ref="N653" si="282">+I653-M653</f>
        <v>136</v>
      </c>
    </row>
    <row r="654" spans="1:14" ht="15" customHeight="1" x14ac:dyDescent="0.25">
      <c r="A654">
        <v>205</v>
      </c>
      <c r="B654" s="1">
        <v>43873</v>
      </c>
      <c r="C654" t="s">
        <v>161</v>
      </c>
      <c r="D654" t="s">
        <v>55</v>
      </c>
      <c r="F654" t="s">
        <v>97</v>
      </c>
      <c r="G654">
        <v>2</v>
      </c>
      <c r="H654">
        <v>280</v>
      </c>
      <c r="I654">
        <f t="shared" si="246"/>
        <v>560</v>
      </c>
      <c r="J654" t="s">
        <v>13</v>
      </c>
      <c r="K654">
        <v>226</v>
      </c>
      <c r="M654">
        <f t="shared" ref="M654:M656" si="283">+K654*G654</f>
        <v>452</v>
      </c>
      <c r="N654">
        <f t="shared" ref="N654:N656" si="284">+I654-M654</f>
        <v>108</v>
      </c>
    </row>
    <row r="655" spans="1:14" ht="15" customHeight="1" x14ac:dyDescent="0.25">
      <c r="A655">
        <v>206</v>
      </c>
      <c r="B655" s="1">
        <v>43873</v>
      </c>
      <c r="C655" t="s">
        <v>161</v>
      </c>
      <c r="D655" t="s">
        <v>25</v>
      </c>
      <c r="F655" t="s">
        <v>128</v>
      </c>
      <c r="G655">
        <v>1</v>
      </c>
      <c r="H655">
        <v>60</v>
      </c>
      <c r="I655">
        <f t="shared" si="246"/>
        <v>60</v>
      </c>
      <c r="J655" t="s">
        <v>165</v>
      </c>
      <c r="K655">
        <f>380/12</f>
        <v>31.666666666666668</v>
      </c>
      <c r="M655">
        <f t="shared" si="283"/>
        <v>31.666666666666668</v>
      </c>
      <c r="N655">
        <f t="shared" si="284"/>
        <v>28.333333333333332</v>
      </c>
    </row>
    <row r="656" spans="1:14" ht="15" customHeight="1" x14ac:dyDescent="0.25">
      <c r="A656">
        <v>207</v>
      </c>
      <c r="B656" s="1">
        <v>43873</v>
      </c>
      <c r="C656" t="s">
        <v>161</v>
      </c>
      <c r="D656" t="s">
        <v>56</v>
      </c>
      <c r="F656" t="s">
        <v>267</v>
      </c>
      <c r="G656">
        <v>1</v>
      </c>
      <c r="H656">
        <v>170</v>
      </c>
      <c r="I656">
        <f t="shared" si="246"/>
        <v>170</v>
      </c>
      <c r="J656" t="s">
        <v>163</v>
      </c>
      <c r="K656">
        <v>131</v>
      </c>
      <c r="M656">
        <f t="shared" si="283"/>
        <v>131</v>
      </c>
      <c r="N656">
        <f t="shared" si="284"/>
        <v>39</v>
      </c>
    </row>
    <row r="657" spans="1:14" ht="15" customHeight="1" x14ac:dyDescent="0.25">
      <c r="A657">
        <v>208</v>
      </c>
      <c r="B657" s="1">
        <v>43873</v>
      </c>
      <c r="C657" t="s">
        <v>161</v>
      </c>
      <c r="D657" t="s">
        <v>25</v>
      </c>
      <c r="F657" t="s">
        <v>156</v>
      </c>
      <c r="G657">
        <v>2</v>
      </c>
      <c r="H657">
        <v>60</v>
      </c>
      <c r="I657">
        <f t="shared" si="246"/>
        <v>120</v>
      </c>
      <c r="J657" t="s">
        <v>165</v>
      </c>
      <c r="K657">
        <f>380/12</f>
        <v>31.666666666666668</v>
      </c>
      <c r="M657">
        <f t="shared" ref="M657:M658" si="285">+K657*G657</f>
        <v>63.333333333333336</v>
      </c>
      <c r="N657">
        <f t="shared" ref="N657:N658" si="286">+I657-M657</f>
        <v>56.666666666666664</v>
      </c>
    </row>
    <row r="658" spans="1:14" ht="15" customHeight="1" x14ac:dyDescent="0.25">
      <c r="A658">
        <v>209</v>
      </c>
      <c r="B658" s="1">
        <v>43873</v>
      </c>
      <c r="C658" t="s">
        <v>161</v>
      </c>
      <c r="D658" t="s">
        <v>15</v>
      </c>
      <c r="F658" t="s">
        <v>31</v>
      </c>
      <c r="G658">
        <f>11/9</f>
        <v>1.2222222222222223</v>
      </c>
      <c r="H658">
        <v>280</v>
      </c>
      <c r="I658">
        <f t="shared" si="246"/>
        <v>342.22222222222223</v>
      </c>
      <c r="J658" t="s">
        <v>163</v>
      </c>
      <c r="K658">
        <v>215</v>
      </c>
      <c r="M658">
        <f t="shared" si="285"/>
        <v>262.77777777777777</v>
      </c>
      <c r="N658">
        <f t="shared" si="286"/>
        <v>79.444444444444457</v>
      </c>
    </row>
    <row r="659" spans="1:14" ht="15" customHeight="1" x14ac:dyDescent="0.25">
      <c r="A659">
        <v>210</v>
      </c>
      <c r="B659" s="1">
        <v>43873</v>
      </c>
      <c r="C659" t="s">
        <v>161</v>
      </c>
      <c r="D659" t="s">
        <v>15</v>
      </c>
      <c r="F659" t="s">
        <v>28</v>
      </c>
      <c r="G659">
        <f>2/9</f>
        <v>0.22222222222222221</v>
      </c>
      <c r="H659">
        <v>230</v>
      </c>
      <c r="I659">
        <f t="shared" si="246"/>
        <v>51.111111111111107</v>
      </c>
      <c r="J659" t="s">
        <v>163</v>
      </c>
      <c r="K659">
        <v>182</v>
      </c>
      <c r="M659" s="11">
        <f t="shared" ref="M659" si="287">+K659*G659</f>
        <v>40.444444444444443</v>
      </c>
      <c r="N659" s="11">
        <f t="shared" ref="N659" si="288">+I659-M659</f>
        <v>10.666666666666664</v>
      </c>
    </row>
    <row r="660" spans="1:14" ht="15" customHeight="1" x14ac:dyDescent="0.25">
      <c r="A660">
        <v>211</v>
      </c>
      <c r="B660" s="1">
        <v>43873</v>
      </c>
      <c r="C660" t="s">
        <v>161</v>
      </c>
      <c r="D660" t="s">
        <v>70</v>
      </c>
      <c r="F660" t="s">
        <v>122</v>
      </c>
      <c r="G660">
        <v>1</v>
      </c>
      <c r="H660">
        <v>3100</v>
      </c>
      <c r="I660">
        <f t="shared" si="246"/>
        <v>3100</v>
      </c>
      <c r="J660" t="s">
        <v>163</v>
      </c>
      <c r="K660">
        <v>2732</v>
      </c>
      <c r="M660">
        <f t="shared" ref="M660" si="289">+K660*G660</f>
        <v>2732</v>
      </c>
      <c r="N660">
        <f t="shared" ref="N660" si="290">+I660-M660</f>
        <v>368</v>
      </c>
    </row>
    <row r="661" spans="1:14" ht="15" customHeight="1" x14ac:dyDescent="0.25">
      <c r="A661">
        <v>212</v>
      </c>
      <c r="B661" s="1">
        <v>43873</v>
      </c>
      <c r="C661" t="s">
        <v>161</v>
      </c>
      <c r="D661" t="s">
        <v>15</v>
      </c>
      <c r="F661" t="s">
        <v>129</v>
      </c>
      <c r="G661">
        <v>1.33</v>
      </c>
      <c r="H661">
        <v>290</v>
      </c>
      <c r="I661">
        <f t="shared" si="246"/>
        <v>385.70000000000005</v>
      </c>
      <c r="J661" t="s">
        <v>13</v>
      </c>
      <c r="K661">
        <v>271</v>
      </c>
      <c r="M661">
        <f t="shared" ref="M661:M662" si="291">+K661*G661</f>
        <v>360.43</v>
      </c>
      <c r="N661">
        <f t="shared" ref="N661:N662" si="292">+I661-M661</f>
        <v>25.270000000000039</v>
      </c>
    </row>
    <row r="662" spans="1:14" ht="15" customHeight="1" x14ac:dyDescent="0.25">
      <c r="A662">
        <v>213</v>
      </c>
      <c r="B662" s="1">
        <v>43873</v>
      </c>
      <c r="C662" t="s">
        <v>161</v>
      </c>
      <c r="D662" t="s">
        <v>15</v>
      </c>
      <c r="F662" t="s">
        <v>95</v>
      </c>
      <c r="G662">
        <v>1.33</v>
      </c>
      <c r="H662">
        <v>280</v>
      </c>
      <c r="I662">
        <f t="shared" si="246"/>
        <v>372.40000000000003</v>
      </c>
      <c r="J662" t="s">
        <v>163</v>
      </c>
      <c r="K662">
        <v>215</v>
      </c>
      <c r="M662">
        <f t="shared" si="291"/>
        <v>285.95</v>
      </c>
      <c r="N662">
        <f t="shared" si="292"/>
        <v>86.450000000000045</v>
      </c>
    </row>
    <row r="663" spans="1:14" ht="15" customHeight="1" x14ac:dyDescent="0.25">
      <c r="A663">
        <v>214</v>
      </c>
      <c r="B663" s="1">
        <v>43873</v>
      </c>
      <c r="C663" t="s">
        <v>161</v>
      </c>
      <c r="D663" t="s">
        <v>70</v>
      </c>
      <c r="F663" t="s">
        <v>191</v>
      </c>
      <c r="G663">
        <v>1</v>
      </c>
      <c r="H663">
        <v>1900</v>
      </c>
      <c r="I663">
        <f t="shared" si="246"/>
        <v>1900</v>
      </c>
      <c r="J663" t="s">
        <v>167</v>
      </c>
      <c r="K663">
        <v>1655</v>
      </c>
      <c r="M663">
        <f t="shared" ref="M663:M666" si="293">+K663*G663</f>
        <v>1655</v>
      </c>
      <c r="N663">
        <f t="shared" ref="N663:N665" si="294">+I663-M663</f>
        <v>245</v>
      </c>
    </row>
    <row r="664" spans="1:14" ht="15" customHeight="1" x14ac:dyDescent="0.25">
      <c r="A664">
        <v>215</v>
      </c>
      <c r="B664" s="1">
        <v>43873</v>
      </c>
      <c r="C664" t="s">
        <v>161</v>
      </c>
      <c r="D664" t="s">
        <v>85</v>
      </c>
      <c r="F664" t="s">
        <v>221</v>
      </c>
      <c r="G664">
        <v>1</v>
      </c>
      <c r="H664">
        <v>2200</v>
      </c>
      <c r="I664">
        <f t="shared" si="246"/>
        <v>2200</v>
      </c>
      <c r="J664" t="s">
        <v>167</v>
      </c>
      <c r="K664">
        <v>1600</v>
      </c>
      <c r="M664">
        <f t="shared" si="293"/>
        <v>1600</v>
      </c>
      <c r="N664">
        <f t="shared" si="294"/>
        <v>600</v>
      </c>
    </row>
    <row r="665" spans="1:14" ht="15" customHeight="1" x14ac:dyDescent="0.25">
      <c r="A665">
        <v>216</v>
      </c>
      <c r="B665" s="1">
        <v>43873</v>
      </c>
      <c r="C665" t="s">
        <v>161</v>
      </c>
      <c r="D665" t="s">
        <v>92</v>
      </c>
      <c r="F665" t="s">
        <v>222</v>
      </c>
      <c r="G665">
        <v>1</v>
      </c>
      <c r="H665">
        <v>270</v>
      </c>
      <c r="I665">
        <f t="shared" si="246"/>
        <v>270</v>
      </c>
      <c r="J665" t="s">
        <v>198</v>
      </c>
      <c r="K665">
        <v>180</v>
      </c>
      <c r="M665">
        <f t="shared" si="293"/>
        <v>180</v>
      </c>
      <c r="N665">
        <f t="shared" si="294"/>
        <v>90</v>
      </c>
    </row>
    <row r="666" spans="1:14" ht="15" customHeight="1" x14ac:dyDescent="0.25">
      <c r="A666">
        <v>217</v>
      </c>
      <c r="B666" s="1">
        <v>43873</v>
      </c>
      <c r="C666" t="s">
        <v>161</v>
      </c>
      <c r="D666" t="s">
        <v>92</v>
      </c>
      <c r="F666" t="s">
        <v>91</v>
      </c>
      <c r="G666">
        <v>1</v>
      </c>
      <c r="H666">
        <v>80</v>
      </c>
      <c r="I666">
        <f t="shared" si="246"/>
        <v>80</v>
      </c>
      <c r="J666" t="s">
        <v>166</v>
      </c>
      <c r="M666">
        <f t="shared" si="293"/>
        <v>0</v>
      </c>
    </row>
    <row r="667" spans="1:14" ht="15" customHeight="1" x14ac:dyDescent="0.25">
      <c r="A667">
        <v>218</v>
      </c>
      <c r="B667" s="1">
        <v>43873</v>
      </c>
      <c r="C667" t="s">
        <v>161</v>
      </c>
      <c r="D667" t="s">
        <v>75</v>
      </c>
      <c r="F667" t="s">
        <v>223</v>
      </c>
      <c r="G667">
        <v>25</v>
      </c>
      <c r="H667">
        <v>45</v>
      </c>
      <c r="I667">
        <f t="shared" si="246"/>
        <v>1125</v>
      </c>
      <c r="J667" t="s">
        <v>163</v>
      </c>
      <c r="K667">
        <v>26</v>
      </c>
      <c r="M667">
        <f t="shared" ref="M667" si="295">+K667*G667</f>
        <v>650</v>
      </c>
      <c r="N667">
        <f>+I667-M667</f>
        <v>475</v>
      </c>
    </row>
    <row r="668" spans="1:14" ht="15" customHeight="1" x14ac:dyDescent="0.25">
      <c r="A668">
        <v>219</v>
      </c>
      <c r="B668" s="1">
        <v>43873</v>
      </c>
      <c r="C668" t="s">
        <v>161</v>
      </c>
      <c r="D668" t="s">
        <v>15</v>
      </c>
      <c r="F668" t="s">
        <v>28</v>
      </c>
      <c r="G668">
        <f>8/9</f>
        <v>0.88888888888888884</v>
      </c>
      <c r="H668">
        <v>230</v>
      </c>
      <c r="I668">
        <f t="shared" si="246"/>
        <v>204.44444444444443</v>
      </c>
      <c r="J668" t="s">
        <v>163</v>
      </c>
      <c r="K668">
        <v>182</v>
      </c>
      <c r="M668" s="11">
        <f t="shared" ref="M668:M670" si="296">+K668*G668</f>
        <v>161.77777777777777</v>
      </c>
      <c r="N668" s="11">
        <f t="shared" ref="N668:N669" si="297">+I668-M668</f>
        <v>42.666666666666657</v>
      </c>
    </row>
    <row r="669" spans="1:14" x14ac:dyDescent="0.25">
      <c r="A669">
        <v>220</v>
      </c>
      <c r="B669" s="1">
        <v>43873</v>
      </c>
      <c r="C669" t="s">
        <v>161</v>
      </c>
      <c r="D669" t="s">
        <v>15</v>
      </c>
      <c r="F669" t="s">
        <v>76</v>
      </c>
      <c r="G669">
        <v>3.46</v>
      </c>
      <c r="H669">
        <v>230</v>
      </c>
      <c r="I669">
        <f t="shared" si="246"/>
        <v>795.8</v>
      </c>
      <c r="J669" t="s">
        <v>163</v>
      </c>
      <c r="K669">
        <v>177</v>
      </c>
      <c r="M669">
        <f t="shared" si="296"/>
        <v>612.41999999999996</v>
      </c>
      <c r="N669">
        <f t="shared" si="297"/>
        <v>183.38</v>
      </c>
    </row>
    <row r="670" spans="1:14" ht="15" customHeight="1" x14ac:dyDescent="0.25">
      <c r="A670">
        <v>221</v>
      </c>
      <c r="B670" s="1">
        <v>43873</v>
      </c>
      <c r="C670" t="s">
        <v>161</v>
      </c>
      <c r="D670" t="s">
        <v>15</v>
      </c>
      <c r="F670" t="s">
        <v>219</v>
      </c>
      <c r="G670">
        <f>4/9</f>
        <v>0.44444444444444442</v>
      </c>
      <c r="H670">
        <v>230</v>
      </c>
      <c r="I670">
        <f t="shared" si="246"/>
        <v>102.22222222222221</v>
      </c>
      <c r="J670" t="s">
        <v>163</v>
      </c>
      <c r="K670">
        <v>196</v>
      </c>
      <c r="M670">
        <f t="shared" si="296"/>
        <v>87.1111111111111</v>
      </c>
      <c r="N670">
        <f>+I670-M670</f>
        <v>15.111111111111114</v>
      </c>
    </row>
    <row r="671" spans="1:14" ht="15" customHeight="1" x14ac:dyDescent="0.25">
      <c r="A671">
        <v>222</v>
      </c>
      <c r="B671" s="1">
        <v>43873</v>
      </c>
      <c r="C671" t="s">
        <v>161</v>
      </c>
      <c r="D671" t="s">
        <v>15</v>
      </c>
      <c r="F671" t="s">
        <v>52</v>
      </c>
      <c r="G671">
        <f>3/8</f>
        <v>0.375</v>
      </c>
      <c r="H671">
        <v>240</v>
      </c>
      <c r="I671">
        <f t="shared" si="246"/>
        <v>90</v>
      </c>
      <c r="J671" t="s">
        <v>163</v>
      </c>
      <c r="K671">
        <v>201</v>
      </c>
      <c r="M671">
        <f t="shared" ref="M671:M672" si="298">+K671*G671</f>
        <v>75.375</v>
      </c>
      <c r="N671">
        <f t="shared" ref="N671" si="299">+I671-M671</f>
        <v>14.625</v>
      </c>
    </row>
    <row r="672" spans="1:14" ht="15" customHeight="1" x14ac:dyDescent="0.25">
      <c r="A672">
        <v>223</v>
      </c>
      <c r="B672" s="1">
        <v>43873</v>
      </c>
      <c r="C672" t="s">
        <v>161</v>
      </c>
      <c r="D672" t="s">
        <v>75</v>
      </c>
      <c r="F672" t="s">
        <v>223</v>
      </c>
      <c r="G672">
        <v>32</v>
      </c>
      <c r="H672">
        <v>45</v>
      </c>
      <c r="I672">
        <f t="shared" si="246"/>
        <v>1440</v>
      </c>
      <c r="J672" t="s">
        <v>163</v>
      </c>
      <c r="K672">
        <v>26</v>
      </c>
      <c r="M672">
        <f t="shared" si="298"/>
        <v>832</v>
      </c>
      <c r="N672">
        <f>+I672-M672</f>
        <v>608</v>
      </c>
    </row>
    <row r="673" spans="1:14" ht="15" customHeight="1" x14ac:dyDescent="0.25">
      <c r="A673">
        <v>224</v>
      </c>
      <c r="B673" s="1">
        <v>43873</v>
      </c>
      <c r="C673" t="s">
        <v>161</v>
      </c>
      <c r="D673" t="s">
        <v>25</v>
      </c>
      <c r="F673" t="s">
        <v>142</v>
      </c>
      <c r="G673">
        <v>2</v>
      </c>
      <c r="H673">
        <v>60</v>
      </c>
      <c r="I673">
        <f t="shared" si="246"/>
        <v>120</v>
      </c>
      <c r="J673" t="s">
        <v>165</v>
      </c>
      <c r="K673">
        <f>380/12</f>
        <v>31.666666666666668</v>
      </c>
      <c r="M673">
        <f t="shared" ref="M673:M675" si="300">+K673*G673</f>
        <v>63.333333333333336</v>
      </c>
      <c r="N673">
        <f t="shared" ref="N673:N675" si="301">+I673-M673</f>
        <v>56.666666666666664</v>
      </c>
    </row>
    <row r="674" spans="1:14" ht="15" customHeight="1" x14ac:dyDescent="0.25">
      <c r="A674">
        <v>225</v>
      </c>
      <c r="B674" s="1">
        <v>43873</v>
      </c>
      <c r="C674" t="s">
        <v>161</v>
      </c>
      <c r="D674" t="s">
        <v>56</v>
      </c>
      <c r="F674" t="s">
        <v>267</v>
      </c>
      <c r="G674">
        <v>1</v>
      </c>
      <c r="H674">
        <v>170</v>
      </c>
      <c r="I674">
        <f t="shared" si="246"/>
        <v>170</v>
      </c>
      <c r="J674" t="s">
        <v>163</v>
      </c>
      <c r="K674">
        <v>131</v>
      </c>
      <c r="M674">
        <f t="shared" si="300"/>
        <v>131</v>
      </c>
      <c r="N674">
        <f t="shared" si="301"/>
        <v>39</v>
      </c>
    </row>
    <row r="675" spans="1:14" ht="15" customHeight="1" x14ac:dyDescent="0.25">
      <c r="A675">
        <v>226</v>
      </c>
      <c r="B675" s="1">
        <v>43873</v>
      </c>
      <c r="C675" t="s">
        <v>161</v>
      </c>
      <c r="D675" t="s">
        <v>25</v>
      </c>
      <c r="F675" t="s">
        <v>224</v>
      </c>
      <c r="G675">
        <v>1</v>
      </c>
      <c r="H675">
        <v>100</v>
      </c>
      <c r="I675">
        <f t="shared" si="246"/>
        <v>100</v>
      </c>
      <c r="J675" t="s">
        <v>163</v>
      </c>
      <c r="K675">
        <v>76</v>
      </c>
      <c r="M675">
        <f t="shared" si="300"/>
        <v>76</v>
      </c>
      <c r="N675">
        <f t="shared" si="301"/>
        <v>24</v>
      </c>
    </row>
    <row r="676" spans="1:14" ht="15" customHeight="1" x14ac:dyDescent="0.25">
      <c r="A676">
        <v>227</v>
      </c>
      <c r="B676" s="1">
        <v>43873</v>
      </c>
      <c r="C676" t="s">
        <v>161</v>
      </c>
      <c r="D676" t="s">
        <v>25</v>
      </c>
      <c r="F676" t="s">
        <v>225</v>
      </c>
      <c r="G676">
        <v>1</v>
      </c>
      <c r="H676">
        <v>60</v>
      </c>
      <c r="I676">
        <f t="shared" si="246"/>
        <v>60</v>
      </c>
      <c r="J676" t="s">
        <v>165</v>
      </c>
      <c r="K676">
        <f>380/12</f>
        <v>31.666666666666668</v>
      </c>
      <c r="M676">
        <f t="shared" ref="M676:M678" si="302">+K676*G676</f>
        <v>31.666666666666668</v>
      </c>
      <c r="N676">
        <f t="shared" ref="N676:N678" si="303">+I676-M676</f>
        <v>28.333333333333332</v>
      </c>
    </row>
    <row r="677" spans="1:14" ht="15" customHeight="1" x14ac:dyDescent="0.25">
      <c r="A677">
        <v>228</v>
      </c>
      <c r="B677" s="1">
        <v>43873</v>
      </c>
      <c r="C677" t="s">
        <v>161</v>
      </c>
      <c r="D677" t="s">
        <v>15</v>
      </c>
      <c r="F677" t="s">
        <v>219</v>
      </c>
      <c r="G677">
        <v>3</v>
      </c>
      <c r="H677">
        <v>230</v>
      </c>
      <c r="I677">
        <f t="shared" si="246"/>
        <v>690</v>
      </c>
      <c r="J677" t="s">
        <v>163</v>
      </c>
      <c r="K677">
        <v>196</v>
      </c>
      <c r="M677">
        <f t="shared" si="302"/>
        <v>588</v>
      </c>
      <c r="N677">
        <f t="shared" si="303"/>
        <v>102</v>
      </c>
    </row>
    <row r="678" spans="1:14" ht="15" customHeight="1" x14ac:dyDescent="0.25">
      <c r="A678">
        <v>229</v>
      </c>
      <c r="B678" s="1">
        <v>43873</v>
      </c>
      <c r="C678" t="s">
        <v>161</v>
      </c>
      <c r="D678" t="s">
        <v>15</v>
      </c>
      <c r="F678" t="s">
        <v>35</v>
      </c>
      <c r="G678">
        <v>1</v>
      </c>
      <c r="H678">
        <v>230</v>
      </c>
      <c r="I678">
        <f t="shared" si="246"/>
        <v>230</v>
      </c>
      <c r="J678" t="s">
        <v>163</v>
      </c>
      <c r="K678">
        <v>196</v>
      </c>
      <c r="M678">
        <f t="shared" si="302"/>
        <v>196</v>
      </c>
      <c r="N678">
        <f t="shared" si="303"/>
        <v>34</v>
      </c>
    </row>
    <row r="679" spans="1:14" ht="15" customHeight="1" x14ac:dyDescent="0.25">
      <c r="A679">
        <v>230</v>
      </c>
      <c r="B679" s="1">
        <v>43874</v>
      </c>
      <c r="C679" t="s">
        <v>161</v>
      </c>
      <c r="D679" t="s">
        <v>25</v>
      </c>
      <c r="F679" t="s">
        <v>225</v>
      </c>
      <c r="G679">
        <v>2</v>
      </c>
      <c r="H679">
        <v>60</v>
      </c>
      <c r="I679">
        <f t="shared" si="246"/>
        <v>120</v>
      </c>
      <c r="J679" t="s">
        <v>165</v>
      </c>
      <c r="K679">
        <f>380/12</f>
        <v>31.666666666666668</v>
      </c>
      <c r="M679">
        <f t="shared" ref="M679" si="304">+K679*G679</f>
        <v>63.333333333333336</v>
      </c>
      <c r="N679">
        <f t="shared" ref="N679" si="305">+I679-M679</f>
        <v>56.666666666666664</v>
      </c>
    </row>
    <row r="680" spans="1:14" ht="15" customHeight="1" x14ac:dyDescent="0.25">
      <c r="A680">
        <v>231</v>
      </c>
      <c r="B680" s="1">
        <v>43874</v>
      </c>
      <c r="C680" t="s">
        <v>161</v>
      </c>
      <c r="D680" t="s">
        <v>44</v>
      </c>
      <c r="F680" t="s">
        <v>138</v>
      </c>
      <c r="G680">
        <v>1</v>
      </c>
      <c r="H680">
        <v>35</v>
      </c>
      <c r="I680">
        <f t="shared" si="246"/>
        <v>35</v>
      </c>
      <c r="J680" t="s">
        <v>166</v>
      </c>
      <c r="K680">
        <v>22</v>
      </c>
      <c r="M680">
        <f t="shared" ref="M680:M681" si="306">+K680*G680</f>
        <v>22</v>
      </c>
      <c r="N680">
        <f t="shared" ref="N680" si="307">+I680-M680</f>
        <v>13</v>
      </c>
    </row>
    <row r="681" spans="1:14" ht="15" customHeight="1" x14ac:dyDescent="0.25">
      <c r="A681">
        <v>232</v>
      </c>
      <c r="B681" s="1">
        <v>43874</v>
      </c>
      <c r="C681" t="s">
        <v>161</v>
      </c>
      <c r="D681" t="s">
        <v>15</v>
      </c>
      <c r="F681" t="s">
        <v>35</v>
      </c>
      <c r="G681">
        <f>4/9</f>
        <v>0.44444444444444442</v>
      </c>
      <c r="H681">
        <v>230</v>
      </c>
      <c r="I681">
        <f t="shared" si="246"/>
        <v>102.22222222222221</v>
      </c>
      <c r="J681" t="s">
        <v>163</v>
      </c>
      <c r="K681">
        <v>196</v>
      </c>
      <c r="M681">
        <f t="shared" si="306"/>
        <v>87.1111111111111</v>
      </c>
      <c r="N681">
        <f>+I681-M681</f>
        <v>15.111111111111114</v>
      </c>
    </row>
    <row r="682" spans="1:14" ht="15" customHeight="1" x14ac:dyDescent="0.25">
      <c r="A682">
        <v>233</v>
      </c>
      <c r="B682" s="1">
        <v>43874</v>
      </c>
      <c r="C682" t="s">
        <v>161</v>
      </c>
      <c r="D682" t="s">
        <v>44</v>
      </c>
      <c r="F682" t="s">
        <v>138</v>
      </c>
      <c r="G682">
        <v>1</v>
      </c>
      <c r="H682">
        <v>35</v>
      </c>
      <c r="I682">
        <f t="shared" ref="I682:I745" si="308">+G682*H682</f>
        <v>35</v>
      </c>
      <c r="J682" t="s">
        <v>166</v>
      </c>
      <c r="K682">
        <v>22</v>
      </c>
      <c r="M682">
        <f t="shared" ref="M682:M683" si="309">+K682*G682</f>
        <v>22</v>
      </c>
      <c r="N682">
        <f t="shared" ref="N682:N683" si="310">+I682-M682</f>
        <v>13</v>
      </c>
    </row>
    <row r="683" spans="1:14" ht="15" customHeight="1" x14ac:dyDescent="0.25">
      <c r="A683">
        <v>234</v>
      </c>
      <c r="B683" s="1">
        <v>43874</v>
      </c>
      <c r="C683" t="s">
        <v>161</v>
      </c>
      <c r="D683" t="s">
        <v>56</v>
      </c>
      <c r="F683" t="s">
        <v>267</v>
      </c>
      <c r="G683">
        <v>3</v>
      </c>
      <c r="H683">
        <v>170</v>
      </c>
      <c r="I683">
        <f t="shared" si="308"/>
        <v>510</v>
      </c>
      <c r="J683" t="s">
        <v>163</v>
      </c>
      <c r="K683">
        <v>131</v>
      </c>
      <c r="M683">
        <f t="shared" si="309"/>
        <v>393</v>
      </c>
      <c r="N683">
        <f t="shared" si="310"/>
        <v>117</v>
      </c>
    </row>
    <row r="684" spans="1:14" ht="15" customHeight="1" x14ac:dyDescent="0.25">
      <c r="A684">
        <v>235</v>
      </c>
      <c r="B684" s="1">
        <v>43874</v>
      </c>
      <c r="C684" t="s">
        <v>161</v>
      </c>
      <c r="D684" t="s">
        <v>25</v>
      </c>
      <c r="F684" t="s">
        <v>137</v>
      </c>
      <c r="G684">
        <v>1</v>
      </c>
      <c r="H684">
        <v>60</v>
      </c>
      <c r="I684">
        <f t="shared" si="308"/>
        <v>60</v>
      </c>
      <c r="J684" t="s">
        <v>165</v>
      </c>
      <c r="K684">
        <f>380/12</f>
        <v>31.666666666666668</v>
      </c>
      <c r="M684">
        <f t="shared" ref="M684:M686" si="311">+K684*G684</f>
        <v>31.666666666666668</v>
      </c>
      <c r="N684">
        <f t="shared" ref="N684:N685" si="312">+I684-M684</f>
        <v>28.333333333333332</v>
      </c>
    </row>
    <row r="685" spans="1:14" ht="15" customHeight="1" x14ac:dyDescent="0.25">
      <c r="A685">
        <v>236</v>
      </c>
      <c r="B685" s="1">
        <v>43874</v>
      </c>
      <c r="C685" t="s">
        <v>161</v>
      </c>
      <c r="D685" t="s">
        <v>15</v>
      </c>
      <c r="F685" t="s">
        <v>32</v>
      </c>
      <c r="G685">
        <f>15/9</f>
        <v>1.6666666666666667</v>
      </c>
      <c r="H685">
        <v>280</v>
      </c>
      <c r="I685">
        <f t="shared" si="308"/>
        <v>466.66666666666669</v>
      </c>
      <c r="J685" t="s">
        <v>163</v>
      </c>
      <c r="K685">
        <v>215</v>
      </c>
      <c r="M685">
        <f t="shared" si="311"/>
        <v>358.33333333333337</v>
      </c>
      <c r="N685">
        <f t="shared" si="312"/>
        <v>108.33333333333331</v>
      </c>
    </row>
    <row r="686" spans="1:14" ht="15" customHeight="1" x14ac:dyDescent="0.25">
      <c r="A686">
        <v>237</v>
      </c>
      <c r="B686" s="1">
        <v>43874</v>
      </c>
      <c r="C686" t="s">
        <v>161</v>
      </c>
      <c r="D686" t="s">
        <v>15</v>
      </c>
      <c r="F686" t="s">
        <v>219</v>
      </c>
      <c r="G686">
        <v>1.53</v>
      </c>
      <c r="H686">
        <v>230</v>
      </c>
      <c r="I686">
        <f t="shared" si="308"/>
        <v>351.90000000000003</v>
      </c>
      <c r="J686" t="s">
        <v>163</v>
      </c>
      <c r="K686">
        <v>196</v>
      </c>
      <c r="M686">
        <f t="shared" si="311"/>
        <v>299.88</v>
      </c>
      <c r="N686">
        <f>+I686-M686</f>
        <v>52.020000000000039</v>
      </c>
    </row>
    <row r="687" spans="1:14" ht="15" customHeight="1" x14ac:dyDescent="0.25">
      <c r="A687">
        <v>238</v>
      </c>
      <c r="B687" s="1">
        <v>43874</v>
      </c>
      <c r="C687" t="s">
        <v>161</v>
      </c>
      <c r="D687" t="s">
        <v>56</v>
      </c>
      <c r="F687" t="s">
        <v>38</v>
      </c>
      <c r="G687">
        <v>1</v>
      </c>
      <c r="H687">
        <v>110</v>
      </c>
      <c r="I687">
        <f t="shared" si="308"/>
        <v>110</v>
      </c>
      <c r="J687" t="s">
        <v>164</v>
      </c>
      <c r="K687">
        <v>70</v>
      </c>
      <c r="M687">
        <f t="shared" ref="M687:M690" si="313">+K687*G687</f>
        <v>70</v>
      </c>
      <c r="N687">
        <f t="shared" ref="N687:N690" si="314">+I687-M687</f>
        <v>40</v>
      </c>
    </row>
    <row r="688" spans="1:14" ht="15" customHeight="1" x14ac:dyDescent="0.25">
      <c r="A688">
        <v>239</v>
      </c>
      <c r="B688" s="1">
        <v>43874</v>
      </c>
      <c r="C688" t="s">
        <v>161</v>
      </c>
      <c r="D688" t="s">
        <v>15</v>
      </c>
      <c r="F688" t="s">
        <v>31</v>
      </c>
      <c r="G688">
        <f>4/9</f>
        <v>0.44444444444444442</v>
      </c>
      <c r="H688">
        <v>280</v>
      </c>
      <c r="I688">
        <f t="shared" si="308"/>
        <v>124.44444444444444</v>
      </c>
      <c r="J688" t="s">
        <v>163</v>
      </c>
      <c r="K688">
        <v>215</v>
      </c>
      <c r="M688">
        <f t="shared" si="313"/>
        <v>95.555555555555557</v>
      </c>
      <c r="N688">
        <f t="shared" si="314"/>
        <v>28.888888888888886</v>
      </c>
    </row>
    <row r="689" spans="1:14" ht="15" customHeight="1" x14ac:dyDescent="0.25">
      <c r="A689">
        <v>240</v>
      </c>
      <c r="B689" s="1">
        <v>43874</v>
      </c>
      <c r="C689" t="s">
        <v>161</v>
      </c>
      <c r="D689" t="s">
        <v>15</v>
      </c>
      <c r="F689" t="s">
        <v>35</v>
      </c>
      <c r="G689">
        <f>2/9</f>
        <v>0.22222222222222221</v>
      </c>
      <c r="H689">
        <v>230</v>
      </c>
      <c r="I689">
        <f t="shared" si="308"/>
        <v>51.111111111111107</v>
      </c>
      <c r="J689" t="s">
        <v>163</v>
      </c>
      <c r="K689">
        <v>196</v>
      </c>
      <c r="M689">
        <f t="shared" si="313"/>
        <v>43.55555555555555</v>
      </c>
      <c r="N689">
        <f t="shared" si="314"/>
        <v>7.5555555555555571</v>
      </c>
    </row>
    <row r="690" spans="1:14" ht="15" customHeight="1" x14ac:dyDescent="0.25">
      <c r="A690">
        <v>241</v>
      </c>
      <c r="B690" s="1">
        <v>43874</v>
      </c>
      <c r="C690" t="s">
        <v>161</v>
      </c>
      <c r="D690" t="s">
        <v>75</v>
      </c>
      <c r="F690" t="s">
        <v>223</v>
      </c>
      <c r="G690">
        <v>3</v>
      </c>
      <c r="H690">
        <v>45</v>
      </c>
      <c r="I690">
        <f t="shared" si="308"/>
        <v>135</v>
      </c>
      <c r="J690" t="s">
        <v>163</v>
      </c>
      <c r="K690">
        <v>26</v>
      </c>
      <c r="M690">
        <f t="shared" si="313"/>
        <v>78</v>
      </c>
      <c r="N690">
        <f t="shared" si="314"/>
        <v>57</v>
      </c>
    </row>
    <row r="691" spans="1:14" ht="15" customHeight="1" x14ac:dyDescent="0.25">
      <c r="A691">
        <v>242</v>
      </c>
      <c r="B691" s="1">
        <v>43874</v>
      </c>
      <c r="C691" t="s">
        <v>161</v>
      </c>
      <c r="D691" t="s">
        <v>25</v>
      </c>
      <c r="F691" t="s">
        <v>147</v>
      </c>
      <c r="G691">
        <v>1</v>
      </c>
      <c r="H691">
        <v>60</v>
      </c>
      <c r="I691">
        <f t="shared" si="308"/>
        <v>60</v>
      </c>
      <c r="J691" t="s">
        <v>165</v>
      </c>
      <c r="K691">
        <f>380/12</f>
        <v>31.666666666666668</v>
      </c>
      <c r="M691">
        <f t="shared" ref="M691" si="315">+K691*G691</f>
        <v>31.666666666666668</v>
      </c>
      <c r="N691">
        <f t="shared" ref="N691" si="316">+I691-M691</f>
        <v>28.333333333333332</v>
      </c>
    </row>
    <row r="692" spans="1:14" ht="15" customHeight="1" x14ac:dyDescent="0.25">
      <c r="A692">
        <v>243</v>
      </c>
      <c r="B692" s="1">
        <v>43874</v>
      </c>
      <c r="C692" t="s">
        <v>161</v>
      </c>
      <c r="D692" t="s">
        <v>44</v>
      </c>
      <c r="F692" t="s">
        <v>226</v>
      </c>
      <c r="G692">
        <v>1</v>
      </c>
      <c r="H692">
        <v>35</v>
      </c>
      <c r="I692">
        <f t="shared" si="308"/>
        <v>35</v>
      </c>
      <c r="J692" t="s">
        <v>166</v>
      </c>
      <c r="K692">
        <v>22</v>
      </c>
      <c r="M692">
        <f t="shared" ref="M692:M693" si="317">+K692*G692</f>
        <v>22</v>
      </c>
      <c r="N692">
        <f t="shared" ref="N692:N693" si="318">+I692-M692</f>
        <v>13</v>
      </c>
    </row>
    <row r="693" spans="1:14" ht="15" customHeight="1" x14ac:dyDescent="0.25">
      <c r="A693">
        <v>244</v>
      </c>
      <c r="B693" s="1">
        <v>43874</v>
      </c>
      <c r="C693" t="s">
        <v>161</v>
      </c>
      <c r="D693" t="s">
        <v>56</v>
      </c>
      <c r="F693" t="s">
        <v>267</v>
      </c>
      <c r="G693">
        <v>4</v>
      </c>
      <c r="H693">
        <v>170</v>
      </c>
      <c r="I693">
        <f t="shared" si="308"/>
        <v>680</v>
      </c>
      <c r="J693" t="s">
        <v>163</v>
      </c>
      <c r="K693">
        <v>131</v>
      </c>
      <c r="M693">
        <f t="shared" si="317"/>
        <v>524</v>
      </c>
      <c r="N693">
        <f t="shared" si="318"/>
        <v>156</v>
      </c>
    </row>
    <row r="694" spans="1:14" ht="15" customHeight="1" x14ac:dyDescent="0.25">
      <c r="A694">
        <v>245</v>
      </c>
      <c r="B694" s="1">
        <v>43875</v>
      </c>
      <c r="C694" t="s">
        <v>161</v>
      </c>
      <c r="D694" t="s">
        <v>55</v>
      </c>
      <c r="F694" t="s">
        <v>97</v>
      </c>
      <c r="G694">
        <v>5</v>
      </c>
      <c r="H694">
        <v>280</v>
      </c>
      <c r="I694">
        <f t="shared" si="308"/>
        <v>1400</v>
      </c>
      <c r="J694" t="s">
        <v>13</v>
      </c>
      <c r="K694">
        <v>271</v>
      </c>
      <c r="M694">
        <f t="shared" ref="M694:M695" si="319">+K694*G694</f>
        <v>1355</v>
      </c>
      <c r="N694">
        <f t="shared" ref="N694:N695" si="320">+I694-M694</f>
        <v>45</v>
      </c>
    </row>
    <row r="695" spans="1:14" ht="15" customHeight="1" x14ac:dyDescent="0.25">
      <c r="A695">
        <v>246</v>
      </c>
      <c r="B695" s="1">
        <v>43875</v>
      </c>
      <c r="C695" t="s">
        <v>161</v>
      </c>
      <c r="D695" t="s">
        <v>15</v>
      </c>
      <c r="F695" t="s">
        <v>32</v>
      </c>
      <c r="G695">
        <v>2</v>
      </c>
      <c r="H695">
        <v>280</v>
      </c>
      <c r="I695">
        <f t="shared" si="308"/>
        <v>560</v>
      </c>
      <c r="J695" t="s">
        <v>163</v>
      </c>
      <c r="K695">
        <v>215</v>
      </c>
      <c r="M695">
        <f t="shared" si="319"/>
        <v>430</v>
      </c>
      <c r="N695">
        <f t="shared" si="320"/>
        <v>130</v>
      </c>
    </row>
    <row r="696" spans="1:14" ht="15" customHeight="1" x14ac:dyDescent="0.25">
      <c r="A696">
        <v>247</v>
      </c>
      <c r="B696" s="1">
        <v>43875</v>
      </c>
      <c r="C696" t="s">
        <v>161</v>
      </c>
      <c r="D696" t="s">
        <v>56</v>
      </c>
      <c r="F696" t="s">
        <v>38</v>
      </c>
      <c r="G696">
        <v>4</v>
      </c>
      <c r="H696">
        <v>110</v>
      </c>
      <c r="I696">
        <f t="shared" si="308"/>
        <v>440</v>
      </c>
      <c r="J696" t="s">
        <v>164</v>
      </c>
      <c r="K696">
        <v>70</v>
      </c>
      <c r="M696">
        <f t="shared" ref="M696" si="321">+K696*G696</f>
        <v>280</v>
      </c>
      <c r="N696">
        <f t="shared" ref="N696" si="322">+I696-M696</f>
        <v>160</v>
      </c>
    </row>
    <row r="697" spans="1:14" ht="15" customHeight="1" x14ac:dyDescent="0.25">
      <c r="A697">
        <v>248</v>
      </c>
      <c r="B697" s="1">
        <v>43875</v>
      </c>
      <c r="C697" t="s">
        <v>161</v>
      </c>
      <c r="D697" t="s">
        <v>24</v>
      </c>
      <c r="F697" t="s">
        <v>24</v>
      </c>
      <c r="G697">
        <v>2</v>
      </c>
      <c r="H697">
        <v>100</v>
      </c>
      <c r="I697">
        <f t="shared" si="308"/>
        <v>200</v>
      </c>
      <c r="J697" t="s">
        <v>186</v>
      </c>
      <c r="K697">
        <v>68.22</v>
      </c>
      <c r="M697">
        <f t="shared" ref="M697:M698" si="323">+K697*G697</f>
        <v>136.44</v>
      </c>
      <c r="N697">
        <f t="shared" ref="N697:N698" si="324">+I697-M697</f>
        <v>63.56</v>
      </c>
    </row>
    <row r="698" spans="1:14" ht="15" customHeight="1" x14ac:dyDescent="0.25">
      <c r="A698">
        <v>249</v>
      </c>
      <c r="B698" s="1">
        <v>43875</v>
      </c>
      <c r="C698" t="s">
        <v>161</v>
      </c>
      <c r="D698" t="s">
        <v>25</v>
      </c>
      <c r="F698" t="s">
        <v>147</v>
      </c>
      <c r="G698">
        <v>3</v>
      </c>
      <c r="H698">
        <v>60</v>
      </c>
      <c r="I698">
        <f t="shared" si="308"/>
        <v>180</v>
      </c>
      <c r="J698" t="s">
        <v>165</v>
      </c>
      <c r="K698">
        <f>380/12</f>
        <v>31.666666666666668</v>
      </c>
      <c r="M698">
        <f t="shared" si="323"/>
        <v>95</v>
      </c>
      <c r="N698">
        <f t="shared" si="324"/>
        <v>85</v>
      </c>
    </row>
    <row r="699" spans="1:14" ht="15" customHeight="1" x14ac:dyDescent="0.25">
      <c r="A699">
        <v>250</v>
      </c>
      <c r="B699" s="1">
        <v>43875</v>
      </c>
      <c r="C699" t="s">
        <v>161</v>
      </c>
      <c r="D699" t="s">
        <v>26</v>
      </c>
      <c r="F699" t="s">
        <v>47</v>
      </c>
      <c r="G699">
        <v>10</v>
      </c>
      <c r="H699">
        <v>380</v>
      </c>
      <c r="I699">
        <f t="shared" si="308"/>
        <v>3800</v>
      </c>
      <c r="J699" t="s">
        <v>99</v>
      </c>
      <c r="K699">
        <v>302</v>
      </c>
      <c r="M699">
        <f t="shared" ref="M699:M701" si="325">+K699*G699</f>
        <v>3020</v>
      </c>
      <c r="N699">
        <f t="shared" ref="N699:N701" si="326">+I699-M699</f>
        <v>780</v>
      </c>
    </row>
    <row r="700" spans="1:14" ht="15" customHeight="1" x14ac:dyDescent="0.25">
      <c r="A700">
        <v>251</v>
      </c>
      <c r="B700" s="1">
        <v>43875</v>
      </c>
      <c r="C700" t="s">
        <v>161</v>
      </c>
      <c r="D700" t="s">
        <v>56</v>
      </c>
      <c r="F700" t="s">
        <v>176</v>
      </c>
      <c r="G700">
        <v>2</v>
      </c>
      <c r="H700">
        <v>260</v>
      </c>
      <c r="I700">
        <f t="shared" si="308"/>
        <v>520</v>
      </c>
      <c r="J700" t="s">
        <v>163</v>
      </c>
      <c r="K700">
        <v>131</v>
      </c>
      <c r="M700">
        <f t="shared" si="325"/>
        <v>262</v>
      </c>
      <c r="N700">
        <f t="shared" si="326"/>
        <v>258</v>
      </c>
    </row>
    <row r="701" spans="1:14" ht="15" customHeight="1" x14ac:dyDescent="0.25">
      <c r="A701">
        <v>252</v>
      </c>
      <c r="B701" s="1">
        <v>43875</v>
      </c>
      <c r="C701" t="s">
        <v>161</v>
      </c>
      <c r="D701" t="s">
        <v>25</v>
      </c>
      <c r="F701" t="s">
        <v>172</v>
      </c>
      <c r="G701">
        <v>1</v>
      </c>
      <c r="H701">
        <v>100</v>
      </c>
      <c r="I701">
        <f t="shared" si="308"/>
        <v>100</v>
      </c>
      <c r="J701" t="s">
        <v>163</v>
      </c>
      <c r="K701">
        <v>76</v>
      </c>
      <c r="M701">
        <f t="shared" si="325"/>
        <v>76</v>
      </c>
      <c r="N701">
        <f t="shared" si="326"/>
        <v>24</v>
      </c>
    </row>
    <row r="702" spans="1:14" ht="15" customHeight="1" x14ac:dyDescent="0.25">
      <c r="A702">
        <v>253</v>
      </c>
      <c r="B702" s="1">
        <v>43875</v>
      </c>
      <c r="C702" t="s">
        <v>161</v>
      </c>
      <c r="D702" t="s">
        <v>56</v>
      </c>
      <c r="F702" t="s">
        <v>38</v>
      </c>
      <c r="G702">
        <v>4</v>
      </c>
      <c r="H702">
        <v>110</v>
      </c>
      <c r="I702">
        <f t="shared" si="308"/>
        <v>440</v>
      </c>
      <c r="J702" t="s">
        <v>164</v>
      </c>
      <c r="K702">
        <v>70</v>
      </c>
      <c r="M702">
        <f t="shared" ref="M702:M703" si="327">+K702*G702</f>
        <v>280</v>
      </c>
      <c r="N702">
        <f t="shared" ref="N702:N703" si="328">+I702-M702</f>
        <v>160</v>
      </c>
    </row>
    <row r="703" spans="1:14" ht="15" customHeight="1" x14ac:dyDescent="0.25">
      <c r="A703">
        <v>254</v>
      </c>
      <c r="B703" s="1">
        <v>43875</v>
      </c>
      <c r="C703" t="s">
        <v>161</v>
      </c>
      <c r="D703" t="s">
        <v>15</v>
      </c>
      <c r="F703" t="s">
        <v>63</v>
      </c>
      <c r="G703">
        <v>4</v>
      </c>
      <c r="H703">
        <v>240</v>
      </c>
      <c r="I703">
        <f t="shared" si="308"/>
        <v>960</v>
      </c>
      <c r="J703" t="s">
        <v>163</v>
      </c>
      <c r="K703">
        <v>205</v>
      </c>
      <c r="M703">
        <f t="shared" si="327"/>
        <v>820</v>
      </c>
      <c r="N703">
        <f t="shared" si="328"/>
        <v>140</v>
      </c>
    </row>
    <row r="704" spans="1:14" ht="15" customHeight="1" x14ac:dyDescent="0.25">
      <c r="A704">
        <v>255</v>
      </c>
      <c r="B704" s="1">
        <v>43875</v>
      </c>
      <c r="C704" t="s">
        <v>161</v>
      </c>
      <c r="D704" t="s">
        <v>15</v>
      </c>
      <c r="F704" t="s">
        <v>29</v>
      </c>
      <c r="G704">
        <v>1</v>
      </c>
      <c r="H704">
        <v>230</v>
      </c>
      <c r="I704">
        <f t="shared" si="308"/>
        <v>230</v>
      </c>
      <c r="J704" t="s">
        <v>163</v>
      </c>
      <c r="K704">
        <v>196</v>
      </c>
      <c r="M704">
        <f t="shared" ref="M704" si="329">+K704*G704</f>
        <v>196</v>
      </c>
      <c r="N704">
        <f t="shared" ref="N704" si="330">+I704-M704</f>
        <v>34</v>
      </c>
    </row>
    <row r="705" spans="1:14" ht="15" customHeight="1" x14ac:dyDescent="0.25">
      <c r="A705">
        <v>256</v>
      </c>
      <c r="B705" s="1">
        <v>43875</v>
      </c>
      <c r="C705" t="s">
        <v>161</v>
      </c>
      <c r="D705" t="s">
        <v>25</v>
      </c>
      <c r="F705" t="s">
        <v>147</v>
      </c>
      <c r="G705">
        <v>2</v>
      </c>
      <c r="H705">
        <v>60</v>
      </c>
      <c r="I705">
        <f t="shared" si="308"/>
        <v>120</v>
      </c>
      <c r="J705" t="s">
        <v>165</v>
      </c>
      <c r="K705">
        <f t="shared" ref="K705:K706" si="331">380/12</f>
        <v>31.666666666666668</v>
      </c>
      <c r="M705">
        <f t="shared" ref="M705:M708" si="332">+K705*G705</f>
        <v>63.333333333333336</v>
      </c>
      <c r="N705">
        <f t="shared" ref="N705:N708" si="333">+I705-M705</f>
        <v>56.666666666666664</v>
      </c>
    </row>
    <row r="706" spans="1:14" ht="15" customHeight="1" x14ac:dyDescent="0.25">
      <c r="A706">
        <v>257</v>
      </c>
      <c r="B706" s="1">
        <v>43875</v>
      </c>
      <c r="C706" t="s">
        <v>161</v>
      </c>
      <c r="D706" t="s">
        <v>25</v>
      </c>
      <c r="F706" t="s">
        <v>72</v>
      </c>
      <c r="G706">
        <v>1</v>
      </c>
      <c r="H706">
        <v>60</v>
      </c>
      <c r="I706">
        <f t="shared" si="308"/>
        <v>60</v>
      </c>
      <c r="J706" t="s">
        <v>165</v>
      </c>
      <c r="K706">
        <f t="shared" si="331"/>
        <v>31.666666666666668</v>
      </c>
      <c r="M706">
        <f t="shared" si="332"/>
        <v>31.666666666666668</v>
      </c>
      <c r="N706">
        <f t="shared" si="333"/>
        <v>28.333333333333332</v>
      </c>
    </row>
    <row r="707" spans="1:14" ht="15" customHeight="1" x14ac:dyDescent="0.25">
      <c r="A707">
        <v>258</v>
      </c>
      <c r="B707" s="1">
        <v>43875</v>
      </c>
      <c r="C707" t="s">
        <v>161</v>
      </c>
      <c r="D707" t="s">
        <v>15</v>
      </c>
      <c r="F707" t="s">
        <v>80</v>
      </c>
      <c r="G707">
        <v>2.31</v>
      </c>
      <c r="H707">
        <v>240</v>
      </c>
      <c r="I707">
        <f t="shared" si="308"/>
        <v>554.4</v>
      </c>
      <c r="J707" t="s">
        <v>163</v>
      </c>
      <c r="K707">
        <v>212</v>
      </c>
      <c r="M707">
        <f t="shared" si="332"/>
        <v>489.72</v>
      </c>
      <c r="N707">
        <f t="shared" si="333"/>
        <v>64.67999999999995</v>
      </c>
    </row>
    <row r="708" spans="1:14" ht="15" customHeight="1" x14ac:dyDescent="0.25">
      <c r="A708">
        <v>259</v>
      </c>
      <c r="B708" s="1">
        <v>43875</v>
      </c>
      <c r="C708" t="s">
        <v>161</v>
      </c>
      <c r="D708" t="s">
        <v>15</v>
      </c>
      <c r="F708" t="s">
        <v>29</v>
      </c>
      <c r="G708">
        <v>1</v>
      </c>
      <c r="H708">
        <v>230</v>
      </c>
      <c r="I708">
        <f t="shared" si="308"/>
        <v>230</v>
      </c>
      <c r="J708" t="s">
        <v>163</v>
      </c>
      <c r="K708">
        <v>196</v>
      </c>
      <c r="M708">
        <f t="shared" si="332"/>
        <v>196</v>
      </c>
      <c r="N708">
        <f t="shared" si="333"/>
        <v>34</v>
      </c>
    </row>
    <row r="709" spans="1:14" ht="15" customHeight="1" x14ac:dyDescent="0.25">
      <c r="A709">
        <v>260</v>
      </c>
      <c r="B709" s="1">
        <v>43875</v>
      </c>
      <c r="C709" t="s">
        <v>161</v>
      </c>
      <c r="D709" t="s">
        <v>55</v>
      </c>
      <c r="F709" t="s">
        <v>89</v>
      </c>
      <c r="G709">
        <f>2/17</f>
        <v>0.11764705882352941</v>
      </c>
      <c r="H709">
        <v>290</v>
      </c>
      <c r="I709">
        <f t="shared" si="308"/>
        <v>34.117647058823529</v>
      </c>
      <c r="J709" t="s">
        <v>13</v>
      </c>
      <c r="K709">
        <v>271</v>
      </c>
      <c r="M709">
        <f t="shared" ref="M709:M710" si="334">+K709*G709</f>
        <v>31.882352941176471</v>
      </c>
      <c r="N709">
        <f t="shared" ref="N709:N710" si="335">+I709-M709</f>
        <v>2.235294117647058</v>
      </c>
    </row>
    <row r="710" spans="1:14" ht="15" customHeight="1" x14ac:dyDescent="0.25">
      <c r="A710">
        <v>261</v>
      </c>
      <c r="B710" s="1">
        <v>43875</v>
      </c>
      <c r="C710" t="s">
        <v>161</v>
      </c>
      <c r="D710" t="s">
        <v>70</v>
      </c>
      <c r="F710" t="s">
        <v>46</v>
      </c>
      <c r="G710">
        <v>1</v>
      </c>
      <c r="H710">
        <v>400</v>
      </c>
      <c r="I710">
        <f t="shared" si="308"/>
        <v>400</v>
      </c>
      <c r="J710" t="s">
        <v>167</v>
      </c>
      <c r="K710">
        <v>291</v>
      </c>
      <c r="M710">
        <f t="shared" si="334"/>
        <v>291</v>
      </c>
      <c r="N710">
        <f t="shared" si="335"/>
        <v>109</v>
      </c>
    </row>
    <row r="711" spans="1:14" ht="15" customHeight="1" x14ac:dyDescent="0.25">
      <c r="A711">
        <v>262</v>
      </c>
      <c r="B711" s="1">
        <v>43875</v>
      </c>
      <c r="C711" t="s">
        <v>161</v>
      </c>
      <c r="D711" t="s">
        <v>55</v>
      </c>
      <c r="F711" t="s">
        <v>22</v>
      </c>
      <c r="G711">
        <v>2</v>
      </c>
      <c r="H711">
        <v>290</v>
      </c>
      <c r="I711">
        <f t="shared" si="308"/>
        <v>580</v>
      </c>
      <c r="J711" t="s">
        <v>13</v>
      </c>
      <c r="K711">
        <v>271</v>
      </c>
      <c r="M711">
        <f t="shared" ref="M711:M712" si="336">+K711*G711</f>
        <v>542</v>
      </c>
      <c r="N711">
        <f t="shared" ref="N711:N712" si="337">+I711-M711</f>
        <v>38</v>
      </c>
    </row>
    <row r="712" spans="1:14" ht="15" customHeight="1" x14ac:dyDescent="0.25">
      <c r="A712">
        <v>263</v>
      </c>
      <c r="B712" s="1">
        <v>43875</v>
      </c>
      <c r="C712" t="s">
        <v>161</v>
      </c>
      <c r="D712" t="s">
        <v>15</v>
      </c>
      <c r="F712" t="s">
        <v>28</v>
      </c>
      <c r="G712">
        <v>13</v>
      </c>
      <c r="H712">
        <v>230</v>
      </c>
      <c r="I712">
        <f t="shared" si="308"/>
        <v>2990</v>
      </c>
      <c r="J712" t="s">
        <v>163</v>
      </c>
      <c r="K712">
        <v>182</v>
      </c>
      <c r="M712" s="11">
        <f t="shared" si="336"/>
        <v>2366</v>
      </c>
      <c r="N712" s="11">
        <f t="shared" si="337"/>
        <v>624</v>
      </c>
    </row>
    <row r="713" spans="1:14" ht="15" customHeight="1" x14ac:dyDescent="0.25">
      <c r="A713">
        <v>264</v>
      </c>
      <c r="B713" s="1">
        <v>43875</v>
      </c>
      <c r="C713" t="s">
        <v>161</v>
      </c>
      <c r="D713" t="s">
        <v>24</v>
      </c>
      <c r="F713" t="s">
        <v>24</v>
      </c>
      <c r="G713">
        <v>3.2</v>
      </c>
      <c r="H713">
        <v>100</v>
      </c>
      <c r="I713">
        <f t="shared" si="308"/>
        <v>320</v>
      </c>
      <c r="J713" t="s">
        <v>186</v>
      </c>
      <c r="K713">
        <v>68.22</v>
      </c>
      <c r="M713">
        <f t="shared" ref="M713:M714" si="338">+K713*G713</f>
        <v>218.304</v>
      </c>
      <c r="N713">
        <f t="shared" ref="N713:N714" si="339">+I713-M713</f>
        <v>101.696</v>
      </c>
    </row>
    <row r="714" spans="1:14" ht="15" customHeight="1" x14ac:dyDescent="0.25">
      <c r="A714">
        <v>265</v>
      </c>
      <c r="B714" s="1">
        <v>43875</v>
      </c>
      <c r="C714" t="s">
        <v>161</v>
      </c>
      <c r="D714" t="s">
        <v>56</v>
      </c>
      <c r="F714" t="s">
        <v>267</v>
      </c>
      <c r="G714">
        <v>4</v>
      </c>
      <c r="H714">
        <v>170</v>
      </c>
      <c r="I714">
        <f t="shared" si="308"/>
        <v>680</v>
      </c>
      <c r="J714" t="s">
        <v>163</v>
      </c>
      <c r="K714">
        <v>131</v>
      </c>
      <c r="M714">
        <f t="shared" si="338"/>
        <v>524</v>
      </c>
      <c r="N714">
        <f t="shared" si="339"/>
        <v>156</v>
      </c>
    </row>
    <row r="715" spans="1:14" ht="15" customHeight="1" x14ac:dyDescent="0.25">
      <c r="A715">
        <v>266</v>
      </c>
      <c r="B715" s="1">
        <v>43875</v>
      </c>
      <c r="C715" t="s">
        <v>161</v>
      </c>
      <c r="D715" t="s">
        <v>44</v>
      </c>
      <c r="F715" t="s">
        <v>138</v>
      </c>
      <c r="G715">
        <v>1</v>
      </c>
      <c r="H715">
        <v>35</v>
      </c>
      <c r="I715">
        <f t="shared" si="308"/>
        <v>35</v>
      </c>
      <c r="J715" t="s">
        <v>166</v>
      </c>
      <c r="K715">
        <v>22</v>
      </c>
      <c r="M715">
        <f t="shared" ref="M715:M716" si="340">+K715*G715</f>
        <v>22</v>
      </c>
      <c r="N715">
        <f t="shared" ref="N715:N716" si="341">+I715-M715</f>
        <v>13</v>
      </c>
    </row>
    <row r="716" spans="1:14" ht="15" customHeight="1" x14ac:dyDescent="0.25">
      <c r="A716">
        <v>267</v>
      </c>
      <c r="B716" s="1">
        <v>43875</v>
      </c>
      <c r="C716" t="s">
        <v>161</v>
      </c>
      <c r="D716" t="s">
        <v>15</v>
      </c>
      <c r="F716" t="s">
        <v>28</v>
      </c>
      <c r="G716">
        <v>2.0499999999999998</v>
      </c>
      <c r="H716">
        <v>230</v>
      </c>
      <c r="I716">
        <f t="shared" si="308"/>
        <v>471.49999999999994</v>
      </c>
      <c r="J716" t="s">
        <v>163</v>
      </c>
      <c r="K716">
        <v>182</v>
      </c>
      <c r="M716" s="11">
        <f t="shared" si="340"/>
        <v>373.09999999999997</v>
      </c>
      <c r="N716" s="11">
        <f t="shared" si="341"/>
        <v>98.399999999999977</v>
      </c>
    </row>
    <row r="717" spans="1:14" ht="15" customHeight="1" x14ac:dyDescent="0.25">
      <c r="A717">
        <v>268</v>
      </c>
      <c r="B717" s="1">
        <v>43876</v>
      </c>
      <c r="C717" t="s">
        <v>161</v>
      </c>
      <c r="D717" t="s">
        <v>23</v>
      </c>
      <c r="F717" t="s">
        <v>43</v>
      </c>
      <c r="G717">
        <v>1</v>
      </c>
      <c r="H717">
        <v>60</v>
      </c>
      <c r="I717">
        <f t="shared" si="308"/>
        <v>60</v>
      </c>
      <c r="J717" t="s">
        <v>187</v>
      </c>
      <c r="K717">
        <v>42</v>
      </c>
      <c r="M717">
        <f t="shared" ref="M717:M718" si="342">+K717*G717</f>
        <v>42</v>
      </c>
      <c r="N717">
        <f t="shared" ref="N717:N718" si="343">+I717-M717</f>
        <v>18</v>
      </c>
    </row>
    <row r="718" spans="1:14" ht="15" customHeight="1" x14ac:dyDescent="0.25">
      <c r="A718">
        <v>269</v>
      </c>
      <c r="B718" s="1">
        <v>43876</v>
      </c>
      <c r="C718" t="s">
        <v>161</v>
      </c>
      <c r="D718" t="s">
        <v>56</v>
      </c>
      <c r="F718" t="s">
        <v>267</v>
      </c>
      <c r="G718">
        <v>4</v>
      </c>
      <c r="H718">
        <v>170</v>
      </c>
      <c r="I718">
        <f t="shared" si="308"/>
        <v>680</v>
      </c>
      <c r="J718" t="s">
        <v>163</v>
      </c>
      <c r="K718">
        <v>131</v>
      </c>
      <c r="M718">
        <f t="shared" si="342"/>
        <v>524</v>
      </c>
      <c r="N718">
        <f t="shared" si="343"/>
        <v>156</v>
      </c>
    </row>
    <row r="719" spans="1:14" ht="15" customHeight="1" x14ac:dyDescent="0.25">
      <c r="A719">
        <v>270</v>
      </c>
      <c r="B719" s="1">
        <v>43876</v>
      </c>
      <c r="C719" t="s">
        <v>161</v>
      </c>
      <c r="D719" t="s">
        <v>25</v>
      </c>
      <c r="F719" t="s">
        <v>72</v>
      </c>
      <c r="G719">
        <v>1</v>
      </c>
      <c r="H719">
        <v>60</v>
      </c>
      <c r="I719">
        <f t="shared" si="308"/>
        <v>60</v>
      </c>
      <c r="J719" t="s">
        <v>165</v>
      </c>
      <c r="K719">
        <f>380/12</f>
        <v>31.666666666666668</v>
      </c>
      <c r="M719">
        <f t="shared" ref="M719" si="344">+K719*G719</f>
        <v>31.666666666666668</v>
      </c>
      <c r="N719">
        <f t="shared" ref="N719" si="345">+I719-M719</f>
        <v>28.333333333333332</v>
      </c>
    </row>
    <row r="720" spans="1:14" ht="15" customHeight="1" x14ac:dyDescent="0.25">
      <c r="A720">
        <v>271</v>
      </c>
      <c r="B720" s="1">
        <v>43876</v>
      </c>
      <c r="C720" t="s">
        <v>161</v>
      </c>
      <c r="D720" t="s">
        <v>15</v>
      </c>
      <c r="F720" t="s">
        <v>219</v>
      </c>
      <c r="G720">
        <v>4.5</v>
      </c>
      <c r="H720">
        <v>230</v>
      </c>
      <c r="I720">
        <f t="shared" si="308"/>
        <v>1035</v>
      </c>
      <c r="J720" t="s">
        <v>163</v>
      </c>
      <c r="K720">
        <v>196</v>
      </c>
      <c r="M720">
        <f>+K720*G720</f>
        <v>882</v>
      </c>
      <c r="N720">
        <f>+I720-M720</f>
        <v>153</v>
      </c>
    </row>
    <row r="721" spans="1:14" ht="15" customHeight="1" x14ac:dyDescent="0.25">
      <c r="A721">
        <v>272</v>
      </c>
      <c r="B721" s="1">
        <v>43876</v>
      </c>
      <c r="C721" t="s">
        <v>161</v>
      </c>
      <c r="D721" t="s">
        <v>70</v>
      </c>
      <c r="F721" t="s">
        <v>227</v>
      </c>
      <c r="G721">
        <v>1</v>
      </c>
      <c r="H721">
        <v>1650</v>
      </c>
      <c r="I721">
        <f t="shared" si="308"/>
        <v>1650</v>
      </c>
      <c r="J721" t="s">
        <v>167</v>
      </c>
      <c r="K721">
        <v>1440</v>
      </c>
      <c r="M721">
        <f t="shared" ref="M721" si="346">+K721*G721</f>
        <v>1440</v>
      </c>
      <c r="N721">
        <f t="shared" ref="N721" si="347">+I721-M721</f>
        <v>210</v>
      </c>
    </row>
    <row r="722" spans="1:14" ht="15" customHeight="1" x14ac:dyDescent="0.25">
      <c r="A722">
        <v>273</v>
      </c>
      <c r="B722" s="1">
        <v>43876</v>
      </c>
      <c r="C722" t="s">
        <v>161</v>
      </c>
      <c r="D722" t="s">
        <v>15</v>
      </c>
      <c r="F722" t="s">
        <v>32</v>
      </c>
      <c r="G722">
        <v>5</v>
      </c>
      <c r="H722">
        <v>280</v>
      </c>
      <c r="I722">
        <f t="shared" si="308"/>
        <v>1400</v>
      </c>
      <c r="J722" t="s">
        <v>163</v>
      </c>
      <c r="K722">
        <v>215</v>
      </c>
      <c r="M722">
        <f t="shared" ref="M722" si="348">+K722*G722</f>
        <v>1075</v>
      </c>
      <c r="N722">
        <f t="shared" ref="N722" si="349">+I722-M722</f>
        <v>325</v>
      </c>
    </row>
    <row r="723" spans="1:14" ht="15" customHeight="1" x14ac:dyDescent="0.25">
      <c r="A723">
        <v>274</v>
      </c>
      <c r="B723" s="1">
        <v>43876</v>
      </c>
      <c r="C723" t="s">
        <v>161</v>
      </c>
      <c r="D723" t="s">
        <v>55</v>
      </c>
      <c r="F723" t="s">
        <v>228</v>
      </c>
      <c r="G723">
        <v>15</v>
      </c>
      <c r="H723">
        <v>290</v>
      </c>
      <c r="I723">
        <f t="shared" si="308"/>
        <v>4350</v>
      </c>
      <c r="J723" t="s">
        <v>13</v>
      </c>
      <c r="K723">
        <v>280</v>
      </c>
      <c r="M723">
        <f t="shared" ref="M723:M725" si="350">+K723*G723</f>
        <v>4200</v>
      </c>
      <c r="N723">
        <f t="shared" ref="N723:N724" si="351">+I723-M723</f>
        <v>150</v>
      </c>
    </row>
    <row r="724" spans="1:14" ht="15" customHeight="1" x14ac:dyDescent="0.25">
      <c r="A724">
        <v>275</v>
      </c>
      <c r="B724" s="1">
        <v>43876</v>
      </c>
      <c r="C724" t="s">
        <v>161</v>
      </c>
      <c r="D724" t="s">
        <v>44</v>
      </c>
      <c r="F724" t="s">
        <v>138</v>
      </c>
      <c r="G724">
        <v>1</v>
      </c>
      <c r="H724">
        <v>35</v>
      </c>
      <c r="I724">
        <f t="shared" si="308"/>
        <v>35</v>
      </c>
      <c r="J724" t="s">
        <v>166</v>
      </c>
      <c r="K724">
        <v>22</v>
      </c>
      <c r="M724">
        <f t="shared" si="350"/>
        <v>22</v>
      </c>
      <c r="N724">
        <f t="shared" si="351"/>
        <v>13</v>
      </c>
    </row>
    <row r="725" spans="1:14" ht="15" customHeight="1" x14ac:dyDescent="0.25">
      <c r="A725">
        <v>276</v>
      </c>
      <c r="B725" s="1">
        <v>43876</v>
      </c>
      <c r="C725" t="s">
        <v>161</v>
      </c>
      <c r="D725" t="s">
        <v>78</v>
      </c>
      <c r="F725" t="s">
        <v>229</v>
      </c>
      <c r="G725">
        <v>1</v>
      </c>
      <c r="H725">
        <v>1950</v>
      </c>
      <c r="I725">
        <f t="shared" si="308"/>
        <v>1950</v>
      </c>
      <c r="J725" t="s">
        <v>198</v>
      </c>
      <c r="K725">
        <v>1325</v>
      </c>
      <c r="M725">
        <f t="shared" si="350"/>
        <v>1325</v>
      </c>
      <c r="N725">
        <f>+I725-M725</f>
        <v>625</v>
      </c>
    </row>
    <row r="726" spans="1:14" ht="15" customHeight="1" x14ac:dyDescent="0.25">
      <c r="A726">
        <v>277</v>
      </c>
      <c r="B726" s="1">
        <v>43876</v>
      </c>
      <c r="C726" t="s">
        <v>161</v>
      </c>
      <c r="D726" t="s">
        <v>15</v>
      </c>
      <c r="F726" t="s">
        <v>29</v>
      </c>
      <c r="G726">
        <v>4.59</v>
      </c>
      <c r="H726">
        <v>230</v>
      </c>
      <c r="I726">
        <f t="shared" si="308"/>
        <v>1055.7</v>
      </c>
      <c r="J726" t="s">
        <v>163</v>
      </c>
      <c r="K726">
        <v>196</v>
      </c>
      <c r="M726">
        <f t="shared" ref="M726" si="352">+K726*G726</f>
        <v>899.64</v>
      </c>
      <c r="N726">
        <f t="shared" ref="N726" si="353">+I726-M726</f>
        <v>156.06000000000006</v>
      </c>
    </row>
    <row r="727" spans="1:14" ht="15" customHeight="1" x14ac:dyDescent="0.25">
      <c r="A727">
        <v>278</v>
      </c>
      <c r="B727" s="1">
        <v>43876</v>
      </c>
      <c r="C727" t="s">
        <v>161</v>
      </c>
      <c r="D727" t="s">
        <v>15</v>
      </c>
      <c r="F727" t="s">
        <v>35</v>
      </c>
      <c r="G727">
        <v>13</v>
      </c>
      <c r="H727">
        <v>230</v>
      </c>
      <c r="I727">
        <f t="shared" si="308"/>
        <v>2990</v>
      </c>
      <c r="J727" t="s">
        <v>163</v>
      </c>
      <c r="K727">
        <v>196</v>
      </c>
      <c r="M727">
        <f>+K727*G727</f>
        <v>2548</v>
      </c>
      <c r="N727">
        <f>+I727-M727</f>
        <v>442</v>
      </c>
    </row>
    <row r="728" spans="1:14" ht="15" customHeight="1" x14ac:dyDescent="0.25">
      <c r="A728">
        <v>279</v>
      </c>
      <c r="B728" s="1">
        <v>43876</v>
      </c>
      <c r="C728" t="s">
        <v>161</v>
      </c>
      <c r="D728" t="s">
        <v>15</v>
      </c>
      <c r="F728" t="s">
        <v>131</v>
      </c>
      <c r="G728">
        <v>2</v>
      </c>
      <c r="H728">
        <v>290</v>
      </c>
      <c r="I728">
        <f t="shared" si="308"/>
        <v>580</v>
      </c>
      <c r="J728" t="s">
        <v>13</v>
      </c>
      <c r="K728">
        <v>271</v>
      </c>
      <c r="M728">
        <f t="shared" ref="M728:M734" si="354">+K728*G728</f>
        <v>542</v>
      </c>
      <c r="N728">
        <f t="shared" ref="N728:N734" si="355">+I728-M728</f>
        <v>38</v>
      </c>
    </row>
    <row r="729" spans="1:14" ht="15" customHeight="1" x14ac:dyDescent="0.25">
      <c r="A729">
        <v>280</v>
      </c>
      <c r="B729" s="1">
        <v>43876</v>
      </c>
      <c r="C729" t="s">
        <v>161</v>
      </c>
      <c r="D729" t="s">
        <v>56</v>
      </c>
      <c r="F729" t="s">
        <v>267</v>
      </c>
      <c r="G729">
        <v>1</v>
      </c>
      <c r="H729">
        <v>170</v>
      </c>
      <c r="I729">
        <f t="shared" si="308"/>
        <v>170</v>
      </c>
      <c r="J729" t="s">
        <v>163</v>
      </c>
      <c r="K729">
        <v>131</v>
      </c>
      <c r="M729">
        <f t="shared" si="354"/>
        <v>131</v>
      </c>
      <c r="N729">
        <f t="shared" si="355"/>
        <v>39</v>
      </c>
    </row>
    <row r="730" spans="1:14" ht="15" customHeight="1" x14ac:dyDescent="0.25">
      <c r="A730">
        <v>281</v>
      </c>
      <c r="B730" s="1">
        <v>43876</v>
      </c>
      <c r="C730" t="s">
        <v>161</v>
      </c>
      <c r="D730" t="s">
        <v>56</v>
      </c>
      <c r="F730" t="s">
        <v>176</v>
      </c>
      <c r="G730">
        <v>1</v>
      </c>
      <c r="H730">
        <v>260</v>
      </c>
      <c r="I730">
        <f t="shared" si="308"/>
        <v>260</v>
      </c>
      <c r="J730" t="s">
        <v>163</v>
      </c>
      <c r="K730">
        <v>131</v>
      </c>
      <c r="M730">
        <f t="shared" si="354"/>
        <v>131</v>
      </c>
      <c r="N730">
        <f t="shared" si="355"/>
        <v>129</v>
      </c>
    </row>
    <row r="731" spans="1:14" ht="15" customHeight="1" x14ac:dyDescent="0.25">
      <c r="A731">
        <v>282</v>
      </c>
      <c r="B731" s="1">
        <v>43878</v>
      </c>
      <c r="C731" t="s">
        <v>161</v>
      </c>
      <c r="D731" t="s">
        <v>15</v>
      </c>
      <c r="F731" t="s">
        <v>219</v>
      </c>
      <c r="G731">
        <v>1.53</v>
      </c>
      <c r="H731">
        <v>230</v>
      </c>
      <c r="I731">
        <f t="shared" si="308"/>
        <v>351.90000000000003</v>
      </c>
      <c r="J731" t="s">
        <v>163</v>
      </c>
      <c r="K731">
        <v>196</v>
      </c>
      <c r="M731">
        <f t="shared" si="354"/>
        <v>299.88</v>
      </c>
      <c r="N731">
        <f t="shared" si="355"/>
        <v>52.020000000000039</v>
      </c>
    </row>
    <row r="732" spans="1:14" ht="15" customHeight="1" x14ac:dyDescent="0.25">
      <c r="A732">
        <v>283</v>
      </c>
      <c r="B732" s="1">
        <v>43878</v>
      </c>
      <c r="C732" t="s">
        <v>161</v>
      </c>
      <c r="D732" t="s">
        <v>15</v>
      </c>
      <c r="F732" t="s">
        <v>153</v>
      </c>
      <c r="G732">
        <v>24</v>
      </c>
      <c r="H732">
        <v>240</v>
      </c>
      <c r="I732">
        <f t="shared" si="308"/>
        <v>5760</v>
      </c>
      <c r="J732" t="s">
        <v>163</v>
      </c>
      <c r="K732">
        <v>220</v>
      </c>
      <c r="M732">
        <f t="shared" si="354"/>
        <v>5280</v>
      </c>
      <c r="N732">
        <f t="shared" si="355"/>
        <v>480</v>
      </c>
    </row>
    <row r="733" spans="1:14" ht="15" customHeight="1" x14ac:dyDescent="0.25">
      <c r="A733">
        <v>284</v>
      </c>
      <c r="B733" s="1">
        <v>43878</v>
      </c>
      <c r="C733" t="s">
        <v>161</v>
      </c>
      <c r="D733" t="s">
        <v>15</v>
      </c>
      <c r="F733" t="s">
        <v>20</v>
      </c>
      <c r="G733">
        <v>77</v>
      </c>
      <c r="H733">
        <v>240</v>
      </c>
      <c r="I733">
        <f t="shared" si="308"/>
        <v>18480</v>
      </c>
      <c r="J733" t="s">
        <v>163</v>
      </c>
      <c r="K733">
        <v>216</v>
      </c>
      <c r="M733">
        <f t="shared" si="354"/>
        <v>16632</v>
      </c>
      <c r="N733">
        <f t="shared" si="355"/>
        <v>1848</v>
      </c>
    </row>
    <row r="734" spans="1:14" ht="15" customHeight="1" x14ac:dyDescent="0.25">
      <c r="A734">
        <v>285</v>
      </c>
      <c r="B734" s="1">
        <v>43878</v>
      </c>
      <c r="C734" t="s">
        <v>161</v>
      </c>
      <c r="D734" t="s">
        <v>24</v>
      </c>
      <c r="F734" t="s">
        <v>24</v>
      </c>
      <c r="G734">
        <v>9.6</v>
      </c>
      <c r="H734">
        <v>100</v>
      </c>
      <c r="I734">
        <f t="shared" si="308"/>
        <v>960</v>
      </c>
      <c r="J734" t="s">
        <v>186</v>
      </c>
      <c r="K734">
        <v>68.22</v>
      </c>
      <c r="M734">
        <f t="shared" si="354"/>
        <v>654.91199999999992</v>
      </c>
      <c r="N734">
        <f t="shared" si="355"/>
        <v>305.08800000000008</v>
      </c>
    </row>
    <row r="735" spans="1:14" ht="15" customHeight="1" x14ac:dyDescent="0.25">
      <c r="A735">
        <v>286</v>
      </c>
      <c r="B735" s="1">
        <v>43878</v>
      </c>
      <c r="C735" t="s">
        <v>161</v>
      </c>
      <c r="D735" t="s">
        <v>25</v>
      </c>
      <c r="F735" t="s">
        <v>225</v>
      </c>
      <c r="G735">
        <v>2</v>
      </c>
      <c r="H735">
        <v>60</v>
      </c>
      <c r="I735">
        <f t="shared" si="308"/>
        <v>120</v>
      </c>
      <c r="J735" t="s">
        <v>165</v>
      </c>
      <c r="K735">
        <f>380/12</f>
        <v>31.666666666666668</v>
      </c>
      <c r="M735">
        <f t="shared" ref="M735:M739" si="356">+K735*G735</f>
        <v>63.333333333333336</v>
      </c>
      <c r="N735">
        <f t="shared" ref="N735:N739" si="357">+I735-M735</f>
        <v>56.666666666666664</v>
      </c>
    </row>
    <row r="736" spans="1:14" ht="15" customHeight="1" x14ac:dyDescent="0.25">
      <c r="A736">
        <v>287</v>
      </c>
      <c r="B736" s="1">
        <v>43878</v>
      </c>
      <c r="C736" t="s">
        <v>161</v>
      </c>
      <c r="D736" t="s">
        <v>15</v>
      </c>
      <c r="F736" t="s">
        <v>29</v>
      </c>
      <c r="G736">
        <v>4</v>
      </c>
      <c r="H736">
        <v>230</v>
      </c>
      <c r="I736">
        <f t="shared" si="308"/>
        <v>920</v>
      </c>
      <c r="J736" t="s">
        <v>163</v>
      </c>
      <c r="K736">
        <v>196</v>
      </c>
      <c r="M736">
        <f t="shared" si="356"/>
        <v>784</v>
      </c>
      <c r="N736">
        <f t="shared" si="357"/>
        <v>136</v>
      </c>
    </row>
    <row r="737" spans="1:14" ht="15" customHeight="1" x14ac:dyDescent="0.25">
      <c r="A737">
        <v>288</v>
      </c>
      <c r="B737" s="1">
        <v>43878</v>
      </c>
      <c r="C737" t="s">
        <v>161</v>
      </c>
      <c r="D737" t="s">
        <v>15</v>
      </c>
      <c r="F737" t="s">
        <v>35</v>
      </c>
      <c r="G737">
        <v>14</v>
      </c>
      <c r="H737">
        <v>230</v>
      </c>
      <c r="I737">
        <f t="shared" si="308"/>
        <v>3220</v>
      </c>
      <c r="J737" t="s">
        <v>163</v>
      </c>
      <c r="K737">
        <v>196</v>
      </c>
      <c r="M737">
        <f t="shared" si="356"/>
        <v>2744</v>
      </c>
      <c r="N737">
        <f t="shared" si="357"/>
        <v>476</v>
      </c>
    </row>
    <row r="738" spans="1:14" ht="15" customHeight="1" x14ac:dyDescent="0.25">
      <c r="A738">
        <v>289</v>
      </c>
      <c r="B738" s="1">
        <v>43878</v>
      </c>
      <c r="C738" t="s">
        <v>161</v>
      </c>
      <c r="D738" t="s">
        <v>15</v>
      </c>
      <c r="F738" t="s">
        <v>34</v>
      </c>
      <c r="G738">
        <v>8</v>
      </c>
      <c r="H738">
        <v>230</v>
      </c>
      <c r="I738">
        <f t="shared" si="308"/>
        <v>1840</v>
      </c>
      <c r="J738" t="s">
        <v>163</v>
      </c>
      <c r="K738">
        <v>196</v>
      </c>
      <c r="M738">
        <f t="shared" si="356"/>
        <v>1568</v>
      </c>
      <c r="N738">
        <f t="shared" si="357"/>
        <v>272</v>
      </c>
    </row>
    <row r="739" spans="1:14" ht="15" customHeight="1" x14ac:dyDescent="0.25">
      <c r="A739">
        <v>290</v>
      </c>
      <c r="B739" s="1">
        <v>43878</v>
      </c>
      <c r="C739" t="s">
        <v>161</v>
      </c>
      <c r="D739" t="s">
        <v>56</v>
      </c>
      <c r="F739" t="s">
        <v>267</v>
      </c>
      <c r="G739">
        <v>9</v>
      </c>
      <c r="H739">
        <v>170</v>
      </c>
      <c r="I739">
        <f t="shared" si="308"/>
        <v>1530</v>
      </c>
      <c r="J739" t="s">
        <v>163</v>
      </c>
      <c r="K739">
        <v>130</v>
      </c>
      <c r="M739">
        <f t="shared" si="356"/>
        <v>1170</v>
      </c>
      <c r="N739">
        <f t="shared" si="357"/>
        <v>360</v>
      </c>
    </row>
    <row r="740" spans="1:14" ht="15" customHeight="1" x14ac:dyDescent="0.25">
      <c r="A740">
        <v>291</v>
      </c>
      <c r="B740" s="1">
        <v>43878</v>
      </c>
      <c r="C740" t="s">
        <v>161</v>
      </c>
      <c r="D740" t="s">
        <v>25</v>
      </c>
      <c r="F740" t="s">
        <v>83</v>
      </c>
      <c r="G740">
        <v>3</v>
      </c>
      <c r="H740">
        <v>60</v>
      </c>
      <c r="I740">
        <f t="shared" si="308"/>
        <v>180</v>
      </c>
      <c r="J740" t="s">
        <v>165</v>
      </c>
      <c r="K740">
        <f>380/12</f>
        <v>31.666666666666668</v>
      </c>
      <c r="M740">
        <f t="shared" ref="M740" si="358">+K740*G740</f>
        <v>95</v>
      </c>
      <c r="N740">
        <f t="shared" ref="N740" si="359">+I740-M740</f>
        <v>85</v>
      </c>
    </row>
    <row r="741" spans="1:14" ht="15" customHeight="1" x14ac:dyDescent="0.25">
      <c r="A741">
        <v>292</v>
      </c>
      <c r="B741" s="1">
        <v>43878</v>
      </c>
      <c r="C741" t="s">
        <v>161</v>
      </c>
      <c r="D741" t="s">
        <v>44</v>
      </c>
      <c r="F741" t="s">
        <v>138</v>
      </c>
      <c r="G741">
        <v>1</v>
      </c>
      <c r="H741">
        <v>35</v>
      </c>
      <c r="I741">
        <f t="shared" si="308"/>
        <v>35</v>
      </c>
      <c r="J741" t="s">
        <v>166</v>
      </c>
      <c r="K741">
        <v>22</v>
      </c>
      <c r="M741">
        <f t="shared" ref="M741:M753" si="360">+K741*G741</f>
        <v>22</v>
      </c>
      <c r="N741">
        <f t="shared" ref="N741:N753" si="361">+I741-M741</f>
        <v>13</v>
      </c>
    </row>
    <row r="742" spans="1:14" ht="15" customHeight="1" x14ac:dyDescent="0.25">
      <c r="A742">
        <v>293</v>
      </c>
      <c r="B742" s="1">
        <v>43878</v>
      </c>
      <c r="C742" t="s">
        <v>161</v>
      </c>
      <c r="D742" t="s">
        <v>56</v>
      </c>
      <c r="F742" t="s">
        <v>267</v>
      </c>
      <c r="G742">
        <v>2</v>
      </c>
      <c r="H742">
        <v>170</v>
      </c>
      <c r="I742">
        <f t="shared" si="308"/>
        <v>340</v>
      </c>
      <c r="J742" t="s">
        <v>163</v>
      </c>
      <c r="K742">
        <v>130</v>
      </c>
      <c r="M742">
        <f t="shared" si="360"/>
        <v>260</v>
      </c>
      <c r="N742">
        <f t="shared" si="361"/>
        <v>80</v>
      </c>
    </row>
    <row r="743" spans="1:14" ht="15" customHeight="1" x14ac:dyDescent="0.25">
      <c r="A743">
        <v>294</v>
      </c>
      <c r="B743" s="1">
        <v>43878</v>
      </c>
      <c r="C743" t="s">
        <v>161</v>
      </c>
      <c r="D743" t="s">
        <v>25</v>
      </c>
      <c r="F743" t="s">
        <v>147</v>
      </c>
      <c r="G743">
        <v>2</v>
      </c>
      <c r="H743">
        <v>60</v>
      </c>
      <c r="I743">
        <f t="shared" si="308"/>
        <v>120</v>
      </c>
      <c r="J743" t="s">
        <v>165</v>
      </c>
      <c r="K743">
        <f>380/12</f>
        <v>31.666666666666668</v>
      </c>
      <c r="M743">
        <f t="shared" si="360"/>
        <v>63.333333333333336</v>
      </c>
      <c r="N743">
        <f t="shared" si="361"/>
        <v>56.666666666666664</v>
      </c>
    </row>
    <row r="744" spans="1:14" ht="15" customHeight="1" x14ac:dyDescent="0.25">
      <c r="A744">
        <v>295</v>
      </c>
      <c r="B744" s="1">
        <v>43878</v>
      </c>
      <c r="C744" t="s">
        <v>161</v>
      </c>
      <c r="D744" t="s">
        <v>15</v>
      </c>
      <c r="F744" t="s">
        <v>129</v>
      </c>
      <c r="G744">
        <v>2</v>
      </c>
      <c r="H744">
        <v>290</v>
      </c>
      <c r="I744">
        <f t="shared" si="308"/>
        <v>580</v>
      </c>
      <c r="J744" t="s">
        <v>13</v>
      </c>
      <c r="K744">
        <v>271</v>
      </c>
      <c r="M744">
        <f t="shared" si="360"/>
        <v>542</v>
      </c>
      <c r="N744">
        <f t="shared" si="361"/>
        <v>38</v>
      </c>
    </row>
    <row r="745" spans="1:14" ht="15" customHeight="1" x14ac:dyDescent="0.25">
      <c r="A745">
        <v>296</v>
      </c>
      <c r="B745" s="1">
        <v>43878</v>
      </c>
      <c r="C745" t="s">
        <v>161</v>
      </c>
      <c r="D745" t="s">
        <v>25</v>
      </c>
      <c r="F745" t="s">
        <v>128</v>
      </c>
      <c r="G745">
        <v>1</v>
      </c>
      <c r="H745">
        <v>60</v>
      </c>
      <c r="I745">
        <f t="shared" si="308"/>
        <v>60</v>
      </c>
      <c r="J745" t="s">
        <v>165</v>
      </c>
      <c r="K745">
        <f>380/12</f>
        <v>31.666666666666668</v>
      </c>
      <c r="M745">
        <f t="shared" si="360"/>
        <v>31.666666666666668</v>
      </c>
      <c r="N745">
        <f t="shared" si="361"/>
        <v>28.333333333333332</v>
      </c>
    </row>
    <row r="746" spans="1:14" ht="15" customHeight="1" x14ac:dyDescent="0.25">
      <c r="A746">
        <v>297</v>
      </c>
      <c r="B746" s="1">
        <v>43878</v>
      </c>
      <c r="C746" t="s">
        <v>161</v>
      </c>
      <c r="D746" t="s">
        <v>15</v>
      </c>
      <c r="F746" t="s">
        <v>54</v>
      </c>
      <c r="G746">
        <v>12</v>
      </c>
      <c r="H746">
        <v>240</v>
      </c>
      <c r="I746">
        <f t="shared" ref="I746:I809" si="362">+G746*H746</f>
        <v>2880</v>
      </c>
      <c r="J746" t="s">
        <v>163</v>
      </c>
      <c r="K746">
        <v>213</v>
      </c>
      <c r="M746">
        <f t="shared" ref="M746" si="363">+K746*G746</f>
        <v>2556</v>
      </c>
      <c r="N746">
        <f t="shared" ref="N746" si="364">+I746-M746</f>
        <v>324</v>
      </c>
    </row>
    <row r="747" spans="1:14" ht="15" customHeight="1" x14ac:dyDescent="0.25">
      <c r="A747">
        <v>298</v>
      </c>
      <c r="B747" s="1">
        <v>43878</v>
      </c>
      <c r="C747" t="s">
        <v>161</v>
      </c>
      <c r="D747" t="s">
        <v>25</v>
      </c>
      <c r="F747" t="s">
        <v>60</v>
      </c>
      <c r="G747">
        <v>1</v>
      </c>
      <c r="H747">
        <v>60</v>
      </c>
      <c r="I747">
        <f t="shared" si="362"/>
        <v>60</v>
      </c>
      <c r="J747" t="s">
        <v>165</v>
      </c>
      <c r="K747">
        <f>380/12</f>
        <v>31.666666666666668</v>
      </c>
      <c r="M747">
        <f t="shared" si="360"/>
        <v>31.666666666666668</v>
      </c>
      <c r="N747">
        <f t="shared" si="361"/>
        <v>28.333333333333332</v>
      </c>
    </row>
    <row r="748" spans="1:14" ht="15" customHeight="1" x14ac:dyDescent="0.25">
      <c r="A748">
        <v>299</v>
      </c>
      <c r="B748" s="1">
        <v>43878</v>
      </c>
      <c r="C748" t="s">
        <v>161</v>
      </c>
      <c r="D748" t="s">
        <v>55</v>
      </c>
      <c r="F748" t="s">
        <v>22</v>
      </c>
      <c r="G748">
        <v>1</v>
      </c>
      <c r="H748">
        <v>300</v>
      </c>
      <c r="I748">
        <f t="shared" si="362"/>
        <v>300</v>
      </c>
      <c r="J748" t="s">
        <v>13</v>
      </c>
      <c r="K748">
        <v>280</v>
      </c>
      <c r="M748">
        <f t="shared" si="360"/>
        <v>280</v>
      </c>
      <c r="N748">
        <f t="shared" si="361"/>
        <v>20</v>
      </c>
    </row>
    <row r="749" spans="1:14" ht="15" customHeight="1" x14ac:dyDescent="0.25">
      <c r="A749">
        <v>300</v>
      </c>
      <c r="B749" s="1">
        <v>43878</v>
      </c>
      <c r="C749" t="s">
        <v>161</v>
      </c>
      <c r="D749" t="s">
        <v>55</v>
      </c>
      <c r="F749" t="s">
        <v>97</v>
      </c>
      <c r="G749">
        <v>8</v>
      </c>
      <c r="H749">
        <v>280</v>
      </c>
      <c r="I749">
        <f t="shared" si="362"/>
        <v>2240</v>
      </c>
      <c r="J749" t="s">
        <v>13</v>
      </c>
      <c r="K749">
        <v>226</v>
      </c>
      <c r="M749">
        <f t="shared" si="360"/>
        <v>1808</v>
      </c>
      <c r="N749">
        <f t="shared" si="361"/>
        <v>432</v>
      </c>
    </row>
    <row r="750" spans="1:14" ht="15" customHeight="1" x14ac:dyDescent="0.25">
      <c r="A750">
        <v>301</v>
      </c>
      <c r="B750" s="1">
        <v>43878</v>
      </c>
      <c r="C750" t="s">
        <v>161</v>
      </c>
      <c r="D750" t="s">
        <v>15</v>
      </c>
      <c r="F750" t="s">
        <v>80</v>
      </c>
      <c r="G750">
        <v>52</v>
      </c>
      <c r="H750">
        <v>240</v>
      </c>
      <c r="I750">
        <f t="shared" si="362"/>
        <v>12480</v>
      </c>
      <c r="J750" t="s">
        <v>163</v>
      </c>
      <c r="K750">
        <v>212</v>
      </c>
      <c r="M750">
        <f t="shared" ref="M750:M751" si="365">+K750*G750</f>
        <v>11024</v>
      </c>
      <c r="N750">
        <f t="shared" ref="N750:N751" si="366">+I750-M750</f>
        <v>1456</v>
      </c>
    </row>
    <row r="751" spans="1:14" ht="15" customHeight="1" x14ac:dyDescent="0.25">
      <c r="A751">
        <v>302</v>
      </c>
      <c r="B751" s="1">
        <v>43878</v>
      </c>
      <c r="C751" t="s">
        <v>161</v>
      </c>
      <c r="D751" t="s">
        <v>56</v>
      </c>
      <c r="F751" t="s">
        <v>267</v>
      </c>
      <c r="G751">
        <v>13</v>
      </c>
      <c r="H751">
        <v>170</v>
      </c>
      <c r="I751">
        <f t="shared" si="362"/>
        <v>2210</v>
      </c>
      <c r="J751" t="s">
        <v>163</v>
      </c>
      <c r="K751">
        <v>130</v>
      </c>
      <c r="M751">
        <f t="shared" si="365"/>
        <v>1690</v>
      </c>
      <c r="N751">
        <f t="shared" si="366"/>
        <v>520</v>
      </c>
    </row>
    <row r="752" spans="1:14" ht="15" customHeight="1" x14ac:dyDescent="0.25">
      <c r="A752">
        <v>303</v>
      </c>
      <c r="B752" s="1">
        <v>43878</v>
      </c>
      <c r="C752" t="s">
        <v>161</v>
      </c>
      <c r="D752" t="s">
        <v>25</v>
      </c>
      <c r="F752" t="s">
        <v>127</v>
      </c>
      <c r="G752">
        <v>1</v>
      </c>
      <c r="H752">
        <v>60</v>
      </c>
      <c r="I752">
        <f t="shared" si="362"/>
        <v>60</v>
      </c>
      <c r="J752" t="s">
        <v>165</v>
      </c>
      <c r="K752">
        <f>380/12</f>
        <v>31.666666666666668</v>
      </c>
      <c r="M752">
        <f t="shared" si="360"/>
        <v>31.666666666666668</v>
      </c>
      <c r="N752">
        <f t="shared" si="361"/>
        <v>28.333333333333332</v>
      </c>
    </row>
    <row r="753" spans="1:14" ht="15" customHeight="1" x14ac:dyDescent="0.25">
      <c r="A753">
        <v>304</v>
      </c>
      <c r="B753" s="1">
        <v>43878</v>
      </c>
      <c r="C753" t="s">
        <v>161</v>
      </c>
      <c r="D753" t="s">
        <v>44</v>
      </c>
      <c r="F753" t="s">
        <v>133</v>
      </c>
      <c r="G753">
        <v>2</v>
      </c>
      <c r="H753">
        <v>35</v>
      </c>
      <c r="I753">
        <f t="shared" si="362"/>
        <v>70</v>
      </c>
      <c r="J753" t="s">
        <v>166</v>
      </c>
      <c r="K753">
        <v>22</v>
      </c>
      <c r="M753">
        <f t="shared" si="360"/>
        <v>44</v>
      </c>
      <c r="N753">
        <f t="shared" si="361"/>
        <v>26</v>
      </c>
    </row>
    <row r="754" spans="1:14" ht="15" customHeight="1" x14ac:dyDescent="0.25">
      <c r="A754">
        <v>305</v>
      </c>
      <c r="B754" s="1">
        <v>43878</v>
      </c>
      <c r="C754" t="s">
        <v>161</v>
      </c>
      <c r="D754" t="s">
        <v>56</v>
      </c>
      <c r="F754" t="s">
        <v>267</v>
      </c>
      <c r="G754">
        <v>10</v>
      </c>
      <c r="H754">
        <v>170</v>
      </c>
      <c r="I754">
        <f t="shared" si="362"/>
        <v>1700</v>
      </c>
      <c r="J754" t="s">
        <v>163</v>
      </c>
      <c r="K754">
        <v>130</v>
      </c>
      <c r="M754">
        <f t="shared" ref="M754:M757" si="367">+K754*G754</f>
        <v>1300</v>
      </c>
      <c r="N754">
        <f t="shared" ref="N754:N757" si="368">+I754-M754</f>
        <v>400</v>
      </c>
    </row>
    <row r="755" spans="1:14" ht="15" customHeight="1" x14ac:dyDescent="0.25">
      <c r="A755">
        <v>306</v>
      </c>
      <c r="B755" s="1">
        <v>43879</v>
      </c>
      <c r="C755" t="s">
        <v>161</v>
      </c>
      <c r="D755" t="s">
        <v>15</v>
      </c>
      <c r="F755" t="s">
        <v>35</v>
      </c>
      <c r="G755">
        <f>2/9</f>
        <v>0.22222222222222221</v>
      </c>
      <c r="H755">
        <v>230</v>
      </c>
      <c r="I755">
        <f t="shared" si="362"/>
        <v>51.111111111111107</v>
      </c>
      <c r="J755" t="s">
        <v>163</v>
      </c>
      <c r="K755">
        <v>196</v>
      </c>
      <c r="M755">
        <f t="shared" si="367"/>
        <v>43.55555555555555</v>
      </c>
      <c r="N755">
        <f t="shared" si="368"/>
        <v>7.5555555555555571</v>
      </c>
    </row>
    <row r="756" spans="1:14" ht="15" customHeight="1" x14ac:dyDescent="0.25">
      <c r="A756">
        <v>307</v>
      </c>
      <c r="B756" s="1">
        <v>43879</v>
      </c>
      <c r="C756" t="s">
        <v>161</v>
      </c>
      <c r="D756" t="s">
        <v>15</v>
      </c>
      <c r="F756" t="s">
        <v>35</v>
      </c>
      <c r="G756">
        <f>2/9</f>
        <v>0.22222222222222221</v>
      </c>
      <c r="H756">
        <v>230</v>
      </c>
      <c r="I756">
        <f t="shared" si="362"/>
        <v>51.111111111111107</v>
      </c>
      <c r="J756" t="s">
        <v>163</v>
      </c>
      <c r="K756">
        <v>196</v>
      </c>
      <c r="M756">
        <f t="shared" si="367"/>
        <v>43.55555555555555</v>
      </c>
      <c r="N756">
        <f t="shared" si="368"/>
        <v>7.5555555555555571</v>
      </c>
    </row>
    <row r="757" spans="1:14" ht="15" customHeight="1" x14ac:dyDescent="0.25">
      <c r="A757">
        <v>308</v>
      </c>
      <c r="B757" s="1">
        <v>43879</v>
      </c>
      <c r="C757" t="s">
        <v>161</v>
      </c>
      <c r="D757" t="s">
        <v>85</v>
      </c>
      <c r="F757" t="s">
        <v>240</v>
      </c>
      <c r="G757">
        <v>1</v>
      </c>
      <c r="H757">
        <v>1800</v>
      </c>
      <c r="I757">
        <f t="shared" si="362"/>
        <v>1800</v>
      </c>
      <c r="J757" t="s">
        <v>167</v>
      </c>
      <c r="K757">
        <f>440+395</f>
        <v>835</v>
      </c>
      <c r="M757">
        <f t="shared" si="367"/>
        <v>835</v>
      </c>
      <c r="N757">
        <f t="shared" si="368"/>
        <v>965</v>
      </c>
    </row>
    <row r="758" spans="1:14" ht="15" customHeight="1" x14ac:dyDescent="0.25">
      <c r="A758">
        <v>309</v>
      </c>
      <c r="B758" s="1">
        <v>43879</v>
      </c>
      <c r="C758" t="s">
        <v>161</v>
      </c>
      <c r="D758" t="s">
        <v>92</v>
      </c>
      <c r="F758" t="s">
        <v>241</v>
      </c>
      <c r="G758">
        <v>1</v>
      </c>
      <c r="H758">
        <v>150</v>
      </c>
      <c r="I758">
        <f t="shared" si="362"/>
        <v>150</v>
      </c>
      <c r="J758" t="s">
        <v>166</v>
      </c>
      <c r="K758">
        <v>100</v>
      </c>
      <c r="M758">
        <f t="shared" ref="M758:M759" si="369">+K758*G758</f>
        <v>100</v>
      </c>
      <c r="N758">
        <f t="shared" ref="N758:N759" si="370">+I758-M758</f>
        <v>50</v>
      </c>
    </row>
    <row r="759" spans="1:14" ht="15" customHeight="1" x14ac:dyDescent="0.25">
      <c r="A759">
        <v>310</v>
      </c>
      <c r="B759" s="1">
        <v>43879</v>
      </c>
      <c r="C759" t="s">
        <v>161</v>
      </c>
      <c r="D759" t="s">
        <v>15</v>
      </c>
      <c r="F759" t="s">
        <v>54</v>
      </c>
      <c r="G759">
        <v>20</v>
      </c>
      <c r="H759">
        <v>240</v>
      </c>
      <c r="I759">
        <f t="shared" si="362"/>
        <v>4800</v>
      </c>
      <c r="J759" t="s">
        <v>163</v>
      </c>
      <c r="K759">
        <v>213</v>
      </c>
      <c r="M759">
        <f t="shared" si="369"/>
        <v>4260</v>
      </c>
      <c r="N759">
        <f t="shared" si="370"/>
        <v>540</v>
      </c>
    </row>
    <row r="760" spans="1:14" ht="15" customHeight="1" x14ac:dyDescent="0.25">
      <c r="A760">
        <v>311</v>
      </c>
      <c r="B760" s="1">
        <v>43879</v>
      </c>
      <c r="C760" t="s">
        <v>161</v>
      </c>
      <c r="D760" t="s">
        <v>25</v>
      </c>
      <c r="F760" t="s">
        <v>127</v>
      </c>
      <c r="G760">
        <v>1</v>
      </c>
      <c r="H760">
        <v>60</v>
      </c>
      <c r="I760">
        <f t="shared" si="362"/>
        <v>60</v>
      </c>
      <c r="J760" t="s">
        <v>165</v>
      </c>
      <c r="K760">
        <f>380/12</f>
        <v>31.666666666666668</v>
      </c>
      <c r="M760">
        <f t="shared" ref="M760" si="371">+K760*G760</f>
        <v>31.666666666666668</v>
      </c>
      <c r="N760">
        <f t="shared" ref="N760" si="372">+I760-M760</f>
        <v>28.333333333333332</v>
      </c>
    </row>
    <row r="761" spans="1:14" ht="15" customHeight="1" x14ac:dyDescent="0.25">
      <c r="A761">
        <v>312</v>
      </c>
      <c r="B761" s="1">
        <v>43879</v>
      </c>
      <c r="C761" t="s">
        <v>161</v>
      </c>
      <c r="D761" t="s">
        <v>44</v>
      </c>
      <c r="F761" t="s">
        <v>77</v>
      </c>
      <c r="G761">
        <v>1</v>
      </c>
      <c r="H761">
        <v>35</v>
      </c>
      <c r="I761">
        <f t="shared" si="362"/>
        <v>35</v>
      </c>
      <c r="J761" t="s">
        <v>166</v>
      </c>
      <c r="K761">
        <v>22</v>
      </c>
      <c r="M761">
        <f t="shared" ref="M761" si="373">+K761*G761</f>
        <v>22</v>
      </c>
      <c r="N761">
        <f t="shared" ref="N761" si="374">+I761-M761</f>
        <v>13</v>
      </c>
    </row>
    <row r="762" spans="1:14" ht="15" customHeight="1" x14ac:dyDescent="0.25">
      <c r="A762">
        <v>313</v>
      </c>
      <c r="B762" s="1">
        <v>43879</v>
      </c>
      <c r="C762" t="s">
        <v>161</v>
      </c>
      <c r="D762" t="s">
        <v>85</v>
      </c>
      <c r="F762" t="s">
        <v>242</v>
      </c>
      <c r="G762">
        <v>2</v>
      </c>
      <c r="H762">
        <v>60</v>
      </c>
      <c r="I762">
        <f t="shared" si="362"/>
        <v>120</v>
      </c>
      <c r="J762" t="s">
        <v>166</v>
      </c>
    </row>
    <row r="763" spans="1:14" ht="15" customHeight="1" x14ac:dyDescent="0.25">
      <c r="A763">
        <v>314</v>
      </c>
      <c r="B763" s="1">
        <v>43879</v>
      </c>
      <c r="C763" t="s">
        <v>161</v>
      </c>
      <c r="D763" t="s">
        <v>85</v>
      </c>
      <c r="F763" t="s">
        <v>243</v>
      </c>
      <c r="G763">
        <v>2</v>
      </c>
      <c r="H763">
        <v>70</v>
      </c>
      <c r="I763">
        <f t="shared" si="362"/>
        <v>140</v>
      </c>
      <c r="J763" t="s">
        <v>166</v>
      </c>
    </row>
    <row r="764" spans="1:14" ht="15" customHeight="1" x14ac:dyDescent="0.25">
      <c r="A764">
        <v>315</v>
      </c>
      <c r="B764" s="1">
        <v>43879</v>
      </c>
      <c r="C764" t="s">
        <v>161</v>
      </c>
      <c r="D764" t="s">
        <v>85</v>
      </c>
      <c r="F764" t="s">
        <v>41</v>
      </c>
      <c r="G764">
        <v>1</v>
      </c>
      <c r="H764">
        <v>100</v>
      </c>
      <c r="I764">
        <f t="shared" si="362"/>
        <v>100</v>
      </c>
      <c r="J764" t="s">
        <v>166</v>
      </c>
    </row>
    <row r="765" spans="1:14" ht="15" customHeight="1" x14ac:dyDescent="0.25">
      <c r="A765">
        <v>316</v>
      </c>
      <c r="B765" s="1">
        <v>43879</v>
      </c>
      <c r="C765" t="s">
        <v>161</v>
      </c>
      <c r="D765" t="s">
        <v>15</v>
      </c>
      <c r="F765" t="s">
        <v>54</v>
      </c>
      <c r="G765">
        <v>12</v>
      </c>
      <c r="H765">
        <v>240</v>
      </c>
      <c r="I765">
        <f t="shared" si="362"/>
        <v>2880</v>
      </c>
      <c r="J765" t="s">
        <v>163</v>
      </c>
      <c r="K765">
        <v>213</v>
      </c>
      <c r="M765">
        <f t="shared" ref="M765:M766" si="375">+K765*G765</f>
        <v>2556</v>
      </c>
      <c r="N765">
        <f t="shared" ref="N765:N766" si="376">+I765-M765</f>
        <v>324</v>
      </c>
    </row>
    <row r="766" spans="1:14" ht="15" customHeight="1" x14ac:dyDescent="0.25">
      <c r="A766">
        <v>317</v>
      </c>
      <c r="B766" s="1">
        <v>43879</v>
      </c>
      <c r="C766" t="s">
        <v>161</v>
      </c>
      <c r="D766" t="s">
        <v>78</v>
      </c>
      <c r="F766" t="s">
        <v>79</v>
      </c>
      <c r="G766">
        <v>1</v>
      </c>
      <c r="H766">
        <v>1550</v>
      </c>
      <c r="I766">
        <f t="shared" si="362"/>
        <v>1550</v>
      </c>
      <c r="J766" t="s">
        <v>167</v>
      </c>
      <c r="K766">
        <v>1330</v>
      </c>
      <c r="M766">
        <f t="shared" si="375"/>
        <v>1330</v>
      </c>
      <c r="N766">
        <f t="shared" si="376"/>
        <v>220</v>
      </c>
    </row>
    <row r="767" spans="1:14" ht="15" customHeight="1" x14ac:dyDescent="0.25">
      <c r="A767">
        <v>318</v>
      </c>
      <c r="B767" s="1">
        <v>43879</v>
      </c>
      <c r="C767" t="s">
        <v>161</v>
      </c>
      <c r="D767" t="s">
        <v>56</v>
      </c>
      <c r="F767" t="s">
        <v>267</v>
      </c>
      <c r="G767">
        <v>2</v>
      </c>
      <c r="H767">
        <v>170</v>
      </c>
      <c r="I767">
        <f t="shared" si="362"/>
        <v>340</v>
      </c>
      <c r="J767" t="s">
        <v>163</v>
      </c>
      <c r="K767">
        <v>130</v>
      </c>
      <c r="M767">
        <f t="shared" ref="M767" si="377">+K767*G767</f>
        <v>260</v>
      </c>
      <c r="N767">
        <f t="shared" ref="N767" si="378">+I767-M767</f>
        <v>80</v>
      </c>
    </row>
    <row r="768" spans="1:14" ht="15" customHeight="1" x14ac:dyDescent="0.25">
      <c r="A768">
        <v>319</v>
      </c>
      <c r="B768" s="1">
        <v>43879</v>
      </c>
      <c r="C768" t="s">
        <v>161</v>
      </c>
      <c r="D768" t="s">
        <v>78</v>
      </c>
      <c r="F768" t="s">
        <v>42</v>
      </c>
      <c r="G768">
        <v>1</v>
      </c>
      <c r="H768">
        <v>720</v>
      </c>
      <c r="I768">
        <f t="shared" si="362"/>
        <v>720</v>
      </c>
      <c r="J768" t="s">
        <v>166</v>
      </c>
    </row>
    <row r="769" spans="1:14" ht="15" customHeight="1" x14ac:dyDescent="0.25">
      <c r="A769">
        <v>320</v>
      </c>
      <c r="B769" s="1">
        <v>43879</v>
      </c>
      <c r="C769" t="s">
        <v>161</v>
      </c>
      <c r="D769" t="s">
        <v>78</v>
      </c>
      <c r="F769" t="s">
        <v>244</v>
      </c>
      <c r="G769">
        <v>1</v>
      </c>
      <c r="H769">
        <v>100</v>
      </c>
      <c r="I769">
        <f t="shared" si="362"/>
        <v>100</v>
      </c>
      <c r="J769" t="s">
        <v>166</v>
      </c>
    </row>
    <row r="770" spans="1:14" ht="15" customHeight="1" x14ac:dyDescent="0.25">
      <c r="A770">
        <v>321</v>
      </c>
      <c r="B770" s="1">
        <v>43879</v>
      </c>
      <c r="C770" t="s">
        <v>161</v>
      </c>
      <c r="D770" t="s">
        <v>78</v>
      </c>
      <c r="F770" t="s">
        <v>245</v>
      </c>
      <c r="G770">
        <v>1</v>
      </c>
      <c r="H770">
        <v>60</v>
      </c>
      <c r="I770">
        <f t="shared" si="362"/>
        <v>60</v>
      </c>
      <c r="J770" t="s">
        <v>166</v>
      </c>
    </row>
    <row r="771" spans="1:14" ht="15" customHeight="1" x14ac:dyDescent="0.25">
      <c r="A771">
        <v>322</v>
      </c>
      <c r="B771" s="1">
        <v>43879</v>
      </c>
      <c r="C771" t="s">
        <v>161</v>
      </c>
      <c r="D771" t="s">
        <v>15</v>
      </c>
      <c r="F771" t="s">
        <v>29</v>
      </c>
      <c r="G771">
        <v>2.5</v>
      </c>
      <c r="H771">
        <v>230</v>
      </c>
      <c r="I771">
        <f t="shared" si="362"/>
        <v>575</v>
      </c>
      <c r="J771" t="s">
        <v>163</v>
      </c>
      <c r="K771">
        <v>196</v>
      </c>
      <c r="M771">
        <f t="shared" ref="M771:M774" si="379">+K771*G771</f>
        <v>490</v>
      </c>
      <c r="N771">
        <f t="shared" ref="N771:N774" si="380">+I771-M771</f>
        <v>85</v>
      </c>
    </row>
    <row r="772" spans="1:14" ht="15" customHeight="1" x14ac:dyDescent="0.25">
      <c r="A772">
        <v>323</v>
      </c>
      <c r="B772" s="1">
        <v>43880</v>
      </c>
      <c r="C772" t="s">
        <v>161</v>
      </c>
      <c r="D772" t="s">
        <v>15</v>
      </c>
      <c r="F772" t="s">
        <v>95</v>
      </c>
      <c r="G772">
        <v>1</v>
      </c>
      <c r="H772">
        <v>280</v>
      </c>
      <c r="I772">
        <f t="shared" si="362"/>
        <v>280</v>
      </c>
      <c r="J772" t="s">
        <v>163</v>
      </c>
      <c r="K772">
        <v>215</v>
      </c>
      <c r="M772">
        <f t="shared" si="379"/>
        <v>215</v>
      </c>
      <c r="N772">
        <f t="shared" si="380"/>
        <v>65</v>
      </c>
    </row>
    <row r="773" spans="1:14" ht="15" customHeight="1" x14ac:dyDescent="0.25">
      <c r="A773">
        <v>324</v>
      </c>
      <c r="B773" s="1">
        <v>43880</v>
      </c>
      <c r="C773" t="s">
        <v>161</v>
      </c>
      <c r="D773" t="s">
        <v>15</v>
      </c>
      <c r="F773" t="s">
        <v>95</v>
      </c>
      <c r="G773">
        <f>3/9</f>
        <v>0.33333333333333331</v>
      </c>
      <c r="H773">
        <v>280</v>
      </c>
      <c r="I773">
        <f t="shared" si="362"/>
        <v>93.333333333333329</v>
      </c>
      <c r="J773" t="s">
        <v>163</v>
      </c>
      <c r="K773">
        <v>215</v>
      </c>
      <c r="M773">
        <f t="shared" si="379"/>
        <v>71.666666666666657</v>
      </c>
      <c r="N773">
        <f t="shared" si="380"/>
        <v>21.666666666666671</v>
      </c>
    </row>
    <row r="774" spans="1:14" ht="15" customHeight="1" x14ac:dyDescent="0.25">
      <c r="A774">
        <v>325</v>
      </c>
      <c r="B774" s="1">
        <v>43880</v>
      </c>
      <c r="C774" t="s">
        <v>161</v>
      </c>
      <c r="D774" t="s">
        <v>56</v>
      </c>
      <c r="F774" t="s">
        <v>267</v>
      </c>
      <c r="G774">
        <v>1</v>
      </c>
      <c r="H774">
        <v>170</v>
      </c>
      <c r="I774">
        <f t="shared" si="362"/>
        <v>170</v>
      </c>
      <c r="J774" t="s">
        <v>163</v>
      </c>
      <c r="K774">
        <v>130</v>
      </c>
      <c r="M774">
        <f t="shared" si="379"/>
        <v>130</v>
      </c>
      <c r="N774">
        <f t="shared" si="380"/>
        <v>40</v>
      </c>
    </row>
    <row r="775" spans="1:14" ht="15" customHeight="1" x14ac:dyDescent="0.25">
      <c r="A775">
        <v>326</v>
      </c>
      <c r="B775" s="1">
        <v>43880</v>
      </c>
      <c r="C775" t="s">
        <v>161</v>
      </c>
      <c r="D775" t="s">
        <v>25</v>
      </c>
      <c r="F775" t="s">
        <v>156</v>
      </c>
      <c r="G775">
        <v>1</v>
      </c>
      <c r="H775">
        <v>60</v>
      </c>
      <c r="I775">
        <f t="shared" si="362"/>
        <v>60</v>
      </c>
      <c r="J775" t="s">
        <v>165</v>
      </c>
      <c r="K775">
        <f>380/12</f>
        <v>31.666666666666668</v>
      </c>
      <c r="M775">
        <f t="shared" ref="M775:M776" si="381">+K775*G775</f>
        <v>31.666666666666668</v>
      </c>
      <c r="N775">
        <f t="shared" ref="N775:N776" si="382">+I775-M775</f>
        <v>28.333333333333332</v>
      </c>
    </row>
    <row r="776" spans="1:14" ht="15" customHeight="1" x14ac:dyDescent="0.25">
      <c r="A776">
        <v>327</v>
      </c>
      <c r="B776" s="1">
        <v>43880</v>
      </c>
      <c r="C776" t="s">
        <v>161</v>
      </c>
      <c r="D776" t="s">
        <v>25</v>
      </c>
      <c r="F776" t="s">
        <v>172</v>
      </c>
      <c r="G776">
        <v>1</v>
      </c>
      <c r="H776">
        <v>100</v>
      </c>
      <c r="I776">
        <f t="shared" si="362"/>
        <v>100</v>
      </c>
      <c r="J776" t="s">
        <v>163</v>
      </c>
      <c r="K776">
        <v>69</v>
      </c>
      <c r="M776">
        <f t="shared" si="381"/>
        <v>69</v>
      </c>
      <c r="N776">
        <f t="shared" si="382"/>
        <v>31</v>
      </c>
    </row>
    <row r="777" spans="1:14" ht="15" customHeight="1" x14ac:dyDescent="0.25">
      <c r="A777">
        <v>328</v>
      </c>
      <c r="B777" s="1">
        <v>43880</v>
      </c>
      <c r="C777" t="s">
        <v>161</v>
      </c>
      <c r="D777" t="s">
        <v>55</v>
      </c>
      <c r="F777" t="s">
        <v>97</v>
      </c>
      <c r="G777">
        <v>18</v>
      </c>
      <c r="H777">
        <v>280</v>
      </c>
      <c r="I777">
        <f t="shared" si="362"/>
        <v>5040</v>
      </c>
      <c r="J777" t="s">
        <v>13</v>
      </c>
      <c r="K777">
        <v>230</v>
      </c>
      <c r="M777">
        <f t="shared" ref="M777" si="383">+K777*G777</f>
        <v>4140</v>
      </c>
      <c r="N777">
        <f t="shared" ref="N777" si="384">+I777-M777</f>
        <v>900</v>
      </c>
    </row>
    <row r="778" spans="1:14" ht="15" customHeight="1" x14ac:dyDescent="0.25">
      <c r="A778">
        <v>329</v>
      </c>
      <c r="B778" s="1">
        <v>43880</v>
      </c>
      <c r="C778" t="s">
        <v>161</v>
      </c>
      <c r="D778" t="s">
        <v>25</v>
      </c>
      <c r="F778" t="s">
        <v>60</v>
      </c>
      <c r="G778">
        <v>1</v>
      </c>
      <c r="H778">
        <v>60</v>
      </c>
      <c r="I778">
        <f t="shared" si="362"/>
        <v>60</v>
      </c>
      <c r="J778" t="s">
        <v>165</v>
      </c>
      <c r="K778">
        <f>380/12</f>
        <v>31.666666666666668</v>
      </c>
      <c r="M778">
        <f t="shared" ref="M778" si="385">+K778*G778</f>
        <v>31.666666666666668</v>
      </c>
      <c r="N778">
        <f t="shared" ref="N778" si="386">+I778-M778</f>
        <v>28.333333333333332</v>
      </c>
    </row>
    <row r="779" spans="1:14" ht="15" customHeight="1" x14ac:dyDescent="0.25">
      <c r="A779">
        <v>330</v>
      </c>
      <c r="B779" s="1">
        <v>43880</v>
      </c>
      <c r="C779" t="s">
        <v>161</v>
      </c>
      <c r="D779" t="s">
        <v>44</v>
      </c>
      <c r="F779" t="s">
        <v>77</v>
      </c>
      <c r="G779">
        <v>1</v>
      </c>
      <c r="H779">
        <v>35</v>
      </c>
      <c r="I779">
        <f t="shared" si="362"/>
        <v>35</v>
      </c>
      <c r="J779" t="s">
        <v>166</v>
      </c>
      <c r="K779">
        <v>22</v>
      </c>
      <c r="M779">
        <f t="shared" ref="M779" si="387">+K779*G779</f>
        <v>22</v>
      </c>
      <c r="N779">
        <f t="shared" ref="N779" si="388">+I779-M779</f>
        <v>13</v>
      </c>
    </row>
    <row r="780" spans="1:14" ht="15" customHeight="1" x14ac:dyDescent="0.25">
      <c r="A780">
        <v>331</v>
      </c>
      <c r="B780" s="1">
        <v>43880</v>
      </c>
      <c r="C780" t="s">
        <v>161</v>
      </c>
      <c r="D780" t="s">
        <v>56</v>
      </c>
      <c r="F780" t="s">
        <v>38</v>
      </c>
      <c r="G780">
        <v>10</v>
      </c>
      <c r="H780">
        <v>100</v>
      </c>
      <c r="I780">
        <f t="shared" si="362"/>
        <v>1000</v>
      </c>
      <c r="J780" t="s">
        <v>164</v>
      </c>
      <c r="K780">
        <v>70</v>
      </c>
      <c r="M780">
        <f t="shared" ref="M780:M785" si="389">+K780*G780</f>
        <v>700</v>
      </c>
      <c r="N780">
        <f t="shared" ref="N780:N785" si="390">+I780-M780</f>
        <v>300</v>
      </c>
    </row>
    <row r="781" spans="1:14" ht="15" customHeight="1" x14ac:dyDescent="0.25">
      <c r="A781">
        <v>332</v>
      </c>
      <c r="B781" s="1">
        <v>43880</v>
      </c>
      <c r="C781" t="s">
        <v>161</v>
      </c>
      <c r="D781" t="s">
        <v>25</v>
      </c>
      <c r="F781" t="s">
        <v>137</v>
      </c>
      <c r="G781">
        <v>1</v>
      </c>
      <c r="H781">
        <v>60</v>
      </c>
      <c r="I781">
        <f t="shared" si="362"/>
        <v>60</v>
      </c>
      <c r="J781" t="s">
        <v>165</v>
      </c>
      <c r="K781">
        <f>380/12</f>
        <v>31.666666666666668</v>
      </c>
      <c r="M781">
        <f t="shared" si="389"/>
        <v>31.666666666666668</v>
      </c>
      <c r="N781">
        <f t="shared" si="390"/>
        <v>28.333333333333332</v>
      </c>
    </row>
    <row r="782" spans="1:14" ht="15" customHeight="1" x14ac:dyDescent="0.25">
      <c r="A782">
        <v>333</v>
      </c>
      <c r="B782" s="1">
        <v>43880</v>
      </c>
      <c r="C782" t="s">
        <v>161</v>
      </c>
      <c r="D782" t="s">
        <v>15</v>
      </c>
      <c r="F782" t="s">
        <v>131</v>
      </c>
      <c r="G782">
        <v>2</v>
      </c>
      <c r="H782">
        <v>300</v>
      </c>
      <c r="I782">
        <f t="shared" si="362"/>
        <v>600</v>
      </c>
      <c r="J782" t="s">
        <v>13</v>
      </c>
      <c r="K782">
        <v>280</v>
      </c>
      <c r="M782">
        <f t="shared" si="389"/>
        <v>560</v>
      </c>
      <c r="N782">
        <f t="shared" si="390"/>
        <v>40</v>
      </c>
    </row>
    <row r="783" spans="1:14" ht="15" customHeight="1" x14ac:dyDescent="0.25">
      <c r="A783">
        <v>334</v>
      </c>
      <c r="B783" s="1">
        <v>43880</v>
      </c>
      <c r="C783" t="s">
        <v>161</v>
      </c>
      <c r="D783" t="s">
        <v>55</v>
      </c>
      <c r="F783" t="s">
        <v>111</v>
      </c>
      <c r="G783">
        <f>6/17</f>
        <v>0.35294117647058826</v>
      </c>
      <c r="H783">
        <v>300</v>
      </c>
      <c r="I783">
        <f t="shared" si="362"/>
        <v>105.88235294117648</v>
      </c>
      <c r="J783" t="s">
        <v>13</v>
      </c>
      <c r="K783">
        <v>280</v>
      </c>
      <c r="M783">
        <f t="shared" si="389"/>
        <v>98.82352941176471</v>
      </c>
      <c r="N783">
        <f t="shared" si="390"/>
        <v>7.058823529411768</v>
      </c>
    </row>
    <row r="784" spans="1:14" ht="15" customHeight="1" x14ac:dyDescent="0.25">
      <c r="A784">
        <v>335</v>
      </c>
      <c r="B784" s="1">
        <v>43880</v>
      </c>
      <c r="C784" t="s">
        <v>161</v>
      </c>
      <c r="D784" t="s">
        <v>15</v>
      </c>
      <c r="F784" t="s">
        <v>54</v>
      </c>
      <c r="G784">
        <v>18</v>
      </c>
      <c r="H784">
        <v>240</v>
      </c>
      <c r="I784">
        <f t="shared" si="362"/>
        <v>4320</v>
      </c>
      <c r="J784" t="s">
        <v>163</v>
      </c>
      <c r="K784">
        <v>213</v>
      </c>
      <c r="M784">
        <f t="shared" si="389"/>
        <v>3834</v>
      </c>
      <c r="N784">
        <f t="shared" si="390"/>
        <v>486</v>
      </c>
    </row>
    <row r="785" spans="1:14" ht="15" customHeight="1" x14ac:dyDescent="0.25">
      <c r="A785">
        <v>336</v>
      </c>
      <c r="B785" s="1">
        <v>43880</v>
      </c>
      <c r="C785" t="s">
        <v>161</v>
      </c>
      <c r="D785" t="s">
        <v>56</v>
      </c>
      <c r="F785" t="s">
        <v>267</v>
      </c>
      <c r="G785">
        <v>4</v>
      </c>
      <c r="H785">
        <v>170</v>
      </c>
      <c r="I785">
        <f t="shared" si="362"/>
        <v>680</v>
      </c>
      <c r="J785" t="s">
        <v>163</v>
      </c>
      <c r="K785">
        <v>118</v>
      </c>
      <c r="M785">
        <f t="shared" si="389"/>
        <v>472</v>
      </c>
      <c r="N785">
        <f t="shared" si="390"/>
        <v>208</v>
      </c>
    </row>
    <row r="786" spans="1:14" ht="15" customHeight="1" x14ac:dyDescent="0.25">
      <c r="A786">
        <v>337</v>
      </c>
      <c r="B786" s="1">
        <v>43880</v>
      </c>
      <c r="C786" t="s">
        <v>161</v>
      </c>
      <c r="D786" t="s">
        <v>25</v>
      </c>
      <c r="F786" t="s">
        <v>25</v>
      </c>
      <c r="G786">
        <v>3</v>
      </c>
      <c r="H786">
        <v>60</v>
      </c>
      <c r="I786">
        <f t="shared" si="362"/>
        <v>180</v>
      </c>
      <c r="J786" t="s">
        <v>165</v>
      </c>
      <c r="K786">
        <f>380/12</f>
        <v>31.666666666666668</v>
      </c>
      <c r="M786">
        <f t="shared" ref="M786:M789" si="391">+K786*G786</f>
        <v>95</v>
      </c>
      <c r="N786">
        <f t="shared" ref="N786" si="392">+I786-M786</f>
        <v>85</v>
      </c>
    </row>
    <row r="787" spans="1:14" ht="15" customHeight="1" x14ac:dyDescent="0.25">
      <c r="A787">
        <v>338</v>
      </c>
      <c r="B787" s="1">
        <v>43880</v>
      </c>
      <c r="C787" t="s">
        <v>161</v>
      </c>
      <c r="D787" t="s">
        <v>44</v>
      </c>
      <c r="F787" t="s">
        <v>138</v>
      </c>
      <c r="G787">
        <v>1</v>
      </c>
      <c r="H787">
        <v>35</v>
      </c>
      <c r="I787">
        <f t="shared" si="362"/>
        <v>35</v>
      </c>
      <c r="J787" t="s">
        <v>198</v>
      </c>
      <c r="K787">
        <v>26</v>
      </c>
      <c r="M787">
        <f t="shared" si="391"/>
        <v>26</v>
      </c>
      <c r="N787">
        <f>+I787-M787</f>
        <v>9</v>
      </c>
    </row>
    <row r="788" spans="1:14" ht="15" customHeight="1" x14ac:dyDescent="0.25">
      <c r="A788">
        <v>339</v>
      </c>
      <c r="B788" s="1">
        <v>43880</v>
      </c>
      <c r="C788" t="s">
        <v>161</v>
      </c>
      <c r="D788" t="s">
        <v>15</v>
      </c>
      <c r="F788" t="s">
        <v>80</v>
      </c>
      <c r="G788">
        <v>30.03</v>
      </c>
      <c r="H788">
        <v>240</v>
      </c>
      <c r="I788">
        <f t="shared" si="362"/>
        <v>7207.2000000000007</v>
      </c>
      <c r="J788" t="s">
        <v>163</v>
      </c>
      <c r="K788">
        <v>212</v>
      </c>
      <c r="M788">
        <f t="shared" si="391"/>
        <v>6366.3600000000006</v>
      </c>
      <c r="N788">
        <f t="shared" ref="N788:N789" si="393">+I788-M788</f>
        <v>840.84000000000015</v>
      </c>
    </row>
    <row r="789" spans="1:14" ht="15" customHeight="1" x14ac:dyDescent="0.25">
      <c r="A789">
        <v>340</v>
      </c>
      <c r="B789" s="1">
        <v>43880</v>
      </c>
      <c r="C789" t="s">
        <v>161</v>
      </c>
      <c r="D789" t="s">
        <v>56</v>
      </c>
      <c r="F789" t="s">
        <v>267</v>
      </c>
      <c r="G789">
        <v>10</v>
      </c>
      <c r="H789">
        <v>170</v>
      </c>
      <c r="I789">
        <f t="shared" si="362"/>
        <v>1700</v>
      </c>
      <c r="J789" t="s">
        <v>163</v>
      </c>
      <c r="K789">
        <v>118</v>
      </c>
      <c r="M789">
        <f t="shared" si="391"/>
        <v>1180</v>
      </c>
      <c r="N789">
        <f t="shared" si="393"/>
        <v>520</v>
      </c>
    </row>
    <row r="790" spans="1:14" ht="15" customHeight="1" x14ac:dyDescent="0.25">
      <c r="A790">
        <v>341</v>
      </c>
      <c r="B790" s="1">
        <v>43880</v>
      </c>
      <c r="C790" t="s">
        <v>161</v>
      </c>
      <c r="D790" t="s">
        <v>25</v>
      </c>
      <c r="F790" t="s">
        <v>127</v>
      </c>
      <c r="G790">
        <v>2</v>
      </c>
      <c r="H790">
        <v>60</v>
      </c>
      <c r="I790">
        <f t="shared" si="362"/>
        <v>120</v>
      </c>
      <c r="J790" t="s">
        <v>165</v>
      </c>
      <c r="K790">
        <f>380/12</f>
        <v>31.666666666666668</v>
      </c>
      <c r="M790">
        <f t="shared" ref="M790:M791" si="394">+K790*G790</f>
        <v>63.333333333333336</v>
      </c>
      <c r="N790">
        <f t="shared" ref="N790" si="395">+I790-M790</f>
        <v>56.666666666666664</v>
      </c>
    </row>
    <row r="791" spans="1:14" ht="15" customHeight="1" x14ac:dyDescent="0.25">
      <c r="A791">
        <v>342</v>
      </c>
      <c r="B791" s="1">
        <v>43880</v>
      </c>
      <c r="C791" t="s">
        <v>161</v>
      </c>
      <c r="D791" t="s">
        <v>44</v>
      </c>
      <c r="F791" t="s">
        <v>138</v>
      </c>
      <c r="G791">
        <v>1</v>
      </c>
      <c r="H791">
        <v>35</v>
      </c>
      <c r="I791">
        <f t="shared" si="362"/>
        <v>35</v>
      </c>
      <c r="J791" t="s">
        <v>198</v>
      </c>
      <c r="K791">
        <v>26</v>
      </c>
      <c r="M791">
        <f t="shared" si="394"/>
        <v>26</v>
      </c>
      <c r="N791">
        <f>+I791-M791</f>
        <v>9</v>
      </c>
    </row>
    <row r="792" spans="1:14" ht="15" customHeight="1" x14ac:dyDescent="0.25">
      <c r="A792">
        <v>343</v>
      </c>
      <c r="B792" s="1">
        <v>43881</v>
      </c>
      <c r="C792" t="s">
        <v>161</v>
      </c>
      <c r="D792" t="s">
        <v>15</v>
      </c>
      <c r="F792" t="s">
        <v>17</v>
      </c>
      <c r="G792">
        <v>10</v>
      </c>
      <c r="H792">
        <v>360</v>
      </c>
      <c r="I792">
        <f t="shared" si="362"/>
        <v>3600</v>
      </c>
      <c r="J792" t="s">
        <v>13</v>
      </c>
      <c r="K792">
        <v>330</v>
      </c>
      <c r="M792">
        <f t="shared" ref="M792:M794" si="396">+K792*G792</f>
        <v>3300</v>
      </c>
      <c r="N792">
        <f t="shared" ref="N792:N794" si="397">+I792-M792</f>
        <v>300</v>
      </c>
    </row>
    <row r="793" spans="1:14" ht="15" customHeight="1" x14ac:dyDescent="0.25">
      <c r="A793">
        <v>344</v>
      </c>
      <c r="B793" s="1">
        <v>43881</v>
      </c>
      <c r="C793" t="s">
        <v>161</v>
      </c>
      <c r="D793" t="s">
        <v>15</v>
      </c>
      <c r="F793" t="s">
        <v>80</v>
      </c>
      <c r="G793">
        <v>25</v>
      </c>
      <c r="H793">
        <v>240</v>
      </c>
      <c r="I793">
        <f t="shared" si="362"/>
        <v>6000</v>
      </c>
      <c r="J793" t="s">
        <v>163</v>
      </c>
      <c r="K793">
        <v>212</v>
      </c>
      <c r="M793">
        <f t="shared" si="396"/>
        <v>5300</v>
      </c>
      <c r="N793">
        <f t="shared" si="397"/>
        <v>700</v>
      </c>
    </row>
    <row r="794" spans="1:14" ht="15" customHeight="1" x14ac:dyDescent="0.25">
      <c r="A794">
        <v>345</v>
      </c>
      <c r="B794" s="1">
        <v>43881</v>
      </c>
      <c r="C794" t="s">
        <v>161</v>
      </c>
      <c r="D794" t="s">
        <v>75</v>
      </c>
      <c r="F794" t="s">
        <v>246</v>
      </c>
      <c r="G794">
        <v>15</v>
      </c>
      <c r="H794">
        <v>45</v>
      </c>
      <c r="I794">
        <f t="shared" si="362"/>
        <v>675</v>
      </c>
      <c r="J794" t="s">
        <v>163</v>
      </c>
      <c r="K794">
        <v>24</v>
      </c>
      <c r="M794">
        <f t="shared" si="396"/>
        <v>360</v>
      </c>
      <c r="N794">
        <f t="shared" si="397"/>
        <v>315</v>
      </c>
    </row>
    <row r="795" spans="1:14" ht="15" customHeight="1" x14ac:dyDescent="0.25">
      <c r="A795">
        <v>346</v>
      </c>
      <c r="B795" s="1">
        <v>43881</v>
      </c>
      <c r="C795" t="s">
        <v>161</v>
      </c>
      <c r="D795" t="s">
        <v>55</v>
      </c>
      <c r="F795" t="s">
        <v>22</v>
      </c>
      <c r="G795">
        <v>4</v>
      </c>
      <c r="H795">
        <v>300</v>
      </c>
      <c r="I795">
        <f t="shared" si="362"/>
        <v>1200</v>
      </c>
      <c r="J795" t="s">
        <v>13</v>
      </c>
      <c r="K795">
        <v>280</v>
      </c>
      <c r="M795">
        <f t="shared" ref="M795:M798" si="398">+K795*G795</f>
        <v>1120</v>
      </c>
      <c r="N795">
        <f t="shared" ref="N795:N798" si="399">+I795-M795</f>
        <v>80</v>
      </c>
    </row>
    <row r="796" spans="1:14" ht="15" customHeight="1" x14ac:dyDescent="0.25">
      <c r="A796">
        <v>347</v>
      </c>
      <c r="B796" s="1">
        <v>43881</v>
      </c>
      <c r="C796" t="s">
        <v>161</v>
      </c>
      <c r="D796" t="s">
        <v>15</v>
      </c>
      <c r="F796" t="s">
        <v>63</v>
      </c>
      <c r="G796">
        <f>3/9</f>
        <v>0.33333333333333331</v>
      </c>
      <c r="H796">
        <v>240</v>
      </c>
      <c r="I796">
        <f t="shared" si="362"/>
        <v>80</v>
      </c>
      <c r="J796" t="s">
        <v>163</v>
      </c>
      <c r="K796">
        <v>204</v>
      </c>
      <c r="M796">
        <f t="shared" si="398"/>
        <v>68</v>
      </c>
      <c r="N796">
        <f t="shared" si="399"/>
        <v>12</v>
      </c>
    </row>
    <row r="797" spans="1:14" ht="15" customHeight="1" x14ac:dyDescent="0.25">
      <c r="A797">
        <v>348</v>
      </c>
      <c r="B797" s="1">
        <v>43881</v>
      </c>
      <c r="C797" t="s">
        <v>161</v>
      </c>
      <c r="D797" t="s">
        <v>15</v>
      </c>
      <c r="F797" t="s">
        <v>35</v>
      </c>
      <c r="G797">
        <v>1</v>
      </c>
      <c r="H797">
        <v>230</v>
      </c>
      <c r="I797">
        <f t="shared" si="362"/>
        <v>230</v>
      </c>
      <c r="J797" t="s">
        <v>163</v>
      </c>
      <c r="K797">
        <v>196</v>
      </c>
      <c r="M797">
        <f t="shared" si="398"/>
        <v>196</v>
      </c>
      <c r="N797">
        <f t="shared" si="399"/>
        <v>34</v>
      </c>
    </row>
    <row r="798" spans="1:14" ht="15" customHeight="1" x14ac:dyDescent="0.25">
      <c r="A798">
        <v>349</v>
      </c>
      <c r="B798" s="1">
        <v>43881</v>
      </c>
      <c r="C798" t="s">
        <v>161</v>
      </c>
      <c r="D798" t="s">
        <v>15</v>
      </c>
      <c r="F798" t="s">
        <v>35</v>
      </c>
      <c r="G798">
        <v>8</v>
      </c>
      <c r="H798">
        <v>230</v>
      </c>
      <c r="I798">
        <f t="shared" si="362"/>
        <v>1840</v>
      </c>
      <c r="J798" t="s">
        <v>163</v>
      </c>
      <c r="K798">
        <v>196</v>
      </c>
      <c r="M798">
        <f t="shared" si="398"/>
        <v>1568</v>
      </c>
      <c r="N798">
        <f t="shared" si="399"/>
        <v>272</v>
      </c>
    </row>
    <row r="799" spans="1:14" ht="15" customHeight="1" x14ac:dyDescent="0.25">
      <c r="A799">
        <v>350</v>
      </c>
      <c r="B799" s="1">
        <v>43881</v>
      </c>
      <c r="C799" t="s">
        <v>161</v>
      </c>
      <c r="D799" t="s">
        <v>25</v>
      </c>
      <c r="F799" t="s">
        <v>128</v>
      </c>
      <c r="G799">
        <v>2</v>
      </c>
      <c r="H799">
        <v>60</v>
      </c>
      <c r="I799">
        <f t="shared" si="362"/>
        <v>120</v>
      </c>
      <c r="J799" t="s">
        <v>165</v>
      </c>
      <c r="K799">
        <f>380/12</f>
        <v>31.666666666666668</v>
      </c>
      <c r="M799">
        <f t="shared" ref="M799:M800" si="400">+K799*G799</f>
        <v>63.333333333333336</v>
      </c>
      <c r="N799">
        <f t="shared" ref="N799:N800" si="401">+I799-M799</f>
        <v>56.666666666666664</v>
      </c>
    </row>
    <row r="800" spans="1:14" ht="15" customHeight="1" x14ac:dyDescent="0.25">
      <c r="A800">
        <v>351</v>
      </c>
      <c r="B800" s="1">
        <v>43881</v>
      </c>
      <c r="C800" t="s">
        <v>161</v>
      </c>
      <c r="D800" t="s">
        <v>78</v>
      </c>
      <c r="F800" t="s">
        <v>79</v>
      </c>
      <c r="G800">
        <v>1</v>
      </c>
      <c r="H800">
        <v>1550</v>
      </c>
      <c r="I800">
        <f t="shared" si="362"/>
        <v>1550</v>
      </c>
      <c r="J800" t="s">
        <v>167</v>
      </c>
      <c r="K800">
        <v>1330</v>
      </c>
      <c r="M800">
        <f t="shared" si="400"/>
        <v>1330</v>
      </c>
      <c r="N800">
        <f t="shared" si="401"/>
        <v>220</v>
      </c>
    </row>
    <row r="801" spans="1:14" ht="15" customHeight="1" x14ac:dyDescent="0.25">
      <c r="A801">
        <v>352</v>
      </c>
      <c r="B801" s="1">
        <v>43881</v>
      </c>
      <c r="C801" t="s">
        <v>161</v>
      </c>
      <c r="D801" t="s">
        <v>78</v>
      </c>
      <c r="F801" t="s">
        <v>125</v>
      </c>
      <c r="G801">
        <v>1</v>
      </c>
      <c r="H801">
        <v>700</v>
      </c>
      <c r="I801">
        <f t="shared" si="362"/>
        <v>700</v>
      </c>
      <c r="J801" t="s">
        <v>166</v>
      </c>
      <c r="K801">
        <v>517</v>
      </c>
      <c r="M801">
        <f t="shared" ref="M801:M803" si="402">+K801*G801</f>
        <v>517</v>
      </c>
      <c r="N801">
        <f t="shared" ref="N801:N803" si="403">+I801-M801</f>
        <v>183</v>
      </c>
    </row>
    <row r="802" spans="1:14" ht="15" customHeight="1" x14ac:dyDescent="0.25">
      <c r="A802">
        <v>353</v>
      </c>
      <c r="B802" s="1">
        <v>43881</v>
      </c>
      <c r="C802" t="s">
        <v>161</v>
      </c>
      <c r="D802" t="s">
        <v>55</v>
      </c>
      <c r="F802" t="s">
        <v>247</v>
      </c>
      <c r="G802">
        <f>2/17</f>
        <v>0.11764705882352941</v>
      </c>
      <c r="H802">
        <v>300</v>
      </c>
      <c r="I802">
        <f t="shared" si="362"/>
        <v>35.294117647058826</v>
      </c>
      <c r="J802" t="s">
        <v>13</v>
      </c>
      <c r="K802">
        <v>280</v>
      </c>
      <c r="M802">
        <f t="shared" si="402"/>
        <v>32.941176470588232</v>
      </c>
      <c r="N802">
        <f t="shared" si="403"/>
        <v>2.3529411764705941</v>
      </c>
    </row>
    <row r="803" spans="1:14" ht="15" customHeight="1" x14ac:dyDescent="0.25">
      <c r="A803">
        <v>354</v>
      </c>
      <c r="B803" s="1">
        <v>43881</v>
      </c>
      <c r="C803" t="s">
        <v>161</v>
      </c>
      <c r="D803" t="s">
        <v>15</v>
      </c>
      <c r="F803" t="s">
        <v>29</v>
      </c>
      <c r="G803">
        <v>3</v>
      </c>
      <c r="H803">
        <v>230</v>
      </c>
      <c r="I803">
        <f t="shared" si="362"/>
        <v>690</v>
      </c>
      <c r="J803" t="s">
        <v>163</v>
      </c>
      <c r="K803">
        <v>196</v>
      </c>
      <c r="M803">
        <f t="shared" si="402"/>
        <v>588</v>
      </c>
      <c r="N803">
        <f t="shared" si="403"/>
        <v>102</v>
      </c>
    </row>
    <row r="804" spans="1:14" ht="15" customHeight="1" x14ac:dyDescent="0.25">
      <c r="A804">
        <v>355</v>
      </c>
      <c r="B804" s="1">
        <v>43881</v>
      </c>
      <c r="C804" t="s">
        <v>161</v>
      </c>
      <c r="D804" t="s">
        <v>25</v>
      </c>
      <c r="F804" t="s">
        <v>127</v>
      </c>
      <c r="G804">
        <v>1</v>
      </c>
      <c r="H804">
        <v>60</v>
      </c>
      <c r="I804">
        <f t="shared" si="362"/>
        <v>60</v>
      </c>
      <c r="J804" t="s">
        <v>165</v>
      </c>
      <c r="K804">
        <f>380/12</f>
        <v>31.666666666666668</v>
      </c>
      <c r="M804">
        <f t="shared" ref="M804:M807" si="404">+K804*G804</f>
        <v>31.666666666666668</v>
      </c>
      <c r="N804">
        <f t="shared" ref="N804:N807" si="405">+I804-M804</f>
        <v>28.333333333333332</v>
      </c>
    </row>
    <row r="805" spans="1:14" ht="15" customHeight="1" x14ac:dyDescent="0.25">
      <c r="A805">
        <v>356</v>
      </c>
      <c r="B805" s="1">
        <v>43881</v>
      </c>
      <c r="C805" t="s">
        <v>161</v>
      </c>
      <c r="D805" t="s">
        <v>15</v>
      </c>
      <c r="F805" t="s">
        <v>54</v>
      </c>
      <c r="G805">
        <v>1</v>
      </c>
      <c r="H805">
        <v>240</v>
      </c>
      <c r="I805">
        <f t="shared" si="362"/>
        <v>240</v>
      </c>
      <c r="J805" t="s">
        <v>163</v>
      </c>
      <c r="K805">
        <v>213</v>
      </c>
      <c r="M805">
        <f t="shared" si="404"/>
        <v>213</v>
      </c>
      <c r="N805">
        <f t="shared" si="405"/>
        <v>27</v>
      </c>
    </row>
    <row r="806" spans="1:14" ht="15" customHeight="1" x14ac:dyDescent="0.25">
      <c r="A806">
        <v>357</v>
      </c>
      <c r="B806" s="1">
        <v>43881</v>
      </c>
      <c r="C806" t="s">
        <v>161</v>
      </c>
      <c r="D806" t="s">
        <v>15</v>
      </c>
      <c r="F806" t="s">
        <v>54</v>
      </c>
      <c r="G806">
        <v>10</v>
      </c>
      <c r="H806">
        <v>240</v>
      </c>
      <c r="I806">
        <f t="shared" si="362"/>
        <v>2400</v>
      </c>
      <c r="J806" t="s">
        <v>163</v>
      </c>
      <c r="K806">
        <v>213</v>
      </c>
      <c r="M806">
        <f t="shared" si="404"/>
        <v>2130</v>
      </c>
      <c r="N806">
        <f t="shared" si="405"/>
        <v>270</v>
      </c>
    </row>
    <row r="807" spans="1:14" ht="15" customHeight="1" x14ac:dyDescent="0.25">
      <c r="A807">
        <v>358</v>
      </c>
      <c r="B807" s="1">
        <v>43881</v>
      </c>
      <c r="C807" t="s">
        <v>161</v>
      </c>
      <c r="D807" t="s">
        <v>56</v>
      </c>
      <c r="F807" t="s">
        <v>267</v>
      </c>
      <c r="G807">
        <v>2</v>
      </c>
      <c r="H807">
        <v>170</v>
      </c>
      <c r="I807">
        <f t="shared" si="362"/>
        <v>340</v>
      </c>
      <c r="J807" t="s">
        <v>163</v>
      </c>
      <c r="K807">
        <v>118</v>
      </c>
      <c r="M807">
        <f t="shared" si="404"/>
        <v>236</v>
      </c>
      <c r="N807">
        <f t="shared" si="405"/>
        <v>104</v>
      </c>
    </row>
    <row r="808" spans="1:14" ht="15" customHeight="1" x14ac:dyDescent="0.25">
      <c r="A808">
        <v>359</v>
      </c>
      <c r="B808" s="1">
        <v>43881</v>
      </c>
      <c r="C808" t="s">
        <v>161</v>
      </c>
      <c r="D808" t="s">
        <v>64</v>
      </c>
      <c r="F808" t="s">
        <v>82</v>
      </c>
      <c r="G808">
        <v>2</v>
      </c>
      <c r="H808">
        <v>430</v>
      </c>
      <c r="I808">
        <f t="shared" si="362"/>
        <v>860</v>
      </c>
      <c r="J808" t="s">
        <v>13</v>
      </c>
      <c r="K808">
        <v>330</v>
      </c>
      <c r="M808">
        <f t="shared" ref="M808" si="406">+K808*G808</f>
        <v>660</v>
      </c>
      <c r="N808">
        <f t="shared" ref="N808" si="407">+I808-M808</f>
        <v>200</v>
      </c>
    </row>
    <row r="809" spans="1:14" ht="15" customHeight="1" x14ac:dyDescent="0.25">
      <c r="A809">
        <v>360</v>
      </c>
      <c r="B809" s="1">
        <v>43881</v>
      </c>
      <c r="C809" t="s">
        <v>161</v>
      </c>
      <c r="D809" t="s">
        <v>85</v>
      </c>
      <c r="F809" t="s">
        <v>242</v>
      </c>
      <c r="G809">
        <v>1</v>
      </c>
      <c r="H809">
        <v>60</v>
      </c>
      <c r="I809">
        <f t="shared" si="362"/>
        <v>60</v>
      </c>
      <c r="J809" t="s">
        <v>166</v>
      </c>
    </row>
    <row r="810" spans="1:14" ht="15" customHeight="1" x14ac:dyDescent="0.25">
      <c r="A810">
        <v>361</v>
      </c>
      <c r="B810" s="1">
        <v>43881</v>
      </c>
      <c r="C810" t="s">
        <v>161</v>
      </c>
      <c r="D810" t="s">
        <v>15</v>
      </c>
      <c r="F810" t="s">
        <v>16</v>
      </c>
      <c r="G810">
        <v>17</v>
      </c>
      <c r="H810">
        <v>300</v>
      </c>
      <c r="I810">
        <f t="shared" ref="I810:I877" si="408">+G810*H810</f>
        <v>5100</v>
      </c>
      <c r="J810" t="s">
        <v>13</v>
      </c>
      <c r="K810">
        <v>280</v>
      </c>
      <c r="M810">
        <f t="shared" ref="M810:M813" si="409">+K810*G810</f>
        <v>4760</v>
      </c>
      <c r="N810">
        <f t="shared" ref="N810:N813" si="410">+I810-M810</f>
        <v>340</v>
      </c>
    </row>
    <row r="811" spans="1:14" ht="15" customHeight="1" x14ac:dyDescent="0.25">
      <c r="A811">
        <v>362</v>
      </c>
      <c r="B811" s="1">
        <v>43881</v>
      </c>
      <c r="C811" t="s">
        <v>161</v>
      </c>
      <c r="D811" t="s">
        <v>15</v>
      </c>
      <c r="F811" t="s">
        <v>52</v>
      </c>
      <c r="G811">
        <v>14</v>
      </c>
      <c r="H811">
        <v>240</v>
      </c>
      <c r="I811">
        <f t="shared" si="408"/>
        <v>3360</v>
      </c>
      <c r="J811" t="s">
        <v>163</v>
      </c>
      <c r="K811">
        <v>201</v>
      </c>
      <c r="M811">
        <f t="shared" si="409"/>
        <v>2814</v>
      </c>
      <c r="N811">
        <f t="shared" si="410"/>
        <v>546</v>
      </c>
    </row>
    <row r="812" spans="1:14" ht="15" customHeight="1" x14ac:dyDescent="0.25">
      <c r="A812">
        <v>363</v>
      </c>
      <c r="B812" s="1">
        <v>43881</v>
      </c>
      <c r="C812" t="s">
        <v>161</v>
      </c>
      <c r="D812" t="s">
        <v>15</v>
      </c>
      <c r="F812" t="s">
        <v>234</v>
      </c>
      <c r="G812">
        <v>2</v>
      </c>
      <c r="H812">
        <v>240</v>
      </c>
      <c r="I812">
        <f t="shared" si="408"/>
        <v>480</v>
      </c>
      <c r="J812" t="s">
        <v>163</v>
      </c>
      <c r="K812">
        <v>216</v>
      </c>
      <c r="M812">
        <f t="shared" si="409"/>
        <v>432</v>
      </c>
      <c r="N812">
        <f t="shared" si="410"/>
        <v>48</v>
      </c>
    </row>
    <row r="813" spans="1:14" ht="15" customHeight="1" x14ac:dyDescent="0.25">
      <c r="A813">
        <v>364</v>
      </c>
      <c r="B813" s="1">
        <v>43881</v>
      </c>
      <c r="C813" t="s">
        <v>161</v>
      </c>
      <c r="D813" t="s">
        <v>15</v>
      </c>
      <c r="F813" t="s">
        <v>153</v>
      </c>
      <c r="G813">
        <v>1</v>
      </c>
      <c r="H813">
        <v>240</v>
      </c>
      <c r="I813">
        <f t="shared" si="408"/>
        <v>240</v>
      </c>
      <c r="J813" t="s">
        <v>163</v>
      </c>
      <c r="K813">
        <v>220</v>
      </c>
      <c r="M813">
        <f t="shared" si="409"/>
        <v>220</v>
      </c>
      <c r="N813">
        <f t="shared" si="410"/>
        <v>20</v>
      </c>
    </row>
    <row r="814" spans="1:14" ht="15" customHeight="1" x14ac:dyDescent="0.25">
      <c r="A814">
        <v>365</v>
      </c>
      <c r="B814" s="1">
        <v>43881</v>
      </c>
      <c r="C814" t="s">
        <v>161</v>
      </c>
      <c r="D814" t="s">
        <v>25</v>
      </c>
      <c r="F814" t="s">
        <v>127</v>
      </c>
      <c r="G814">
        <v>2</v>
      </c>
      <c r="H814">
        <v>60</v>
      </c>
      <c r="I814">
        <f t="shared" si="408"/>
        <v>120</v>
      </c>
      <c r="J814" t="s">
        <v>165</v>
      </c>
      <c r="K814">
        <f t="shared" ref="K814:K815" si="411">380/12</f>
        <v>31.666666666666668</v>
      </c>
      <c r="M814">
        <f t="shared" ref="M814:M816" si="412">+K814*G814</f>
        <v>63.333333333333336</v>
      </c>
      <c r="N814">
        <f t="shared" ref="N814:N816" si="413">+I814-M814</f>
        <v>56.666666666666664</v>
      </c>
    </row>
    <row r="815" spans="1:14" ht="15" customHeight="1" x14ac:dyDescent="0.25">
      <c r="A815">
        <v>366</v>
      </c>
      <c r="B815" s="1">
        <v>43881</v>
      </c>
      <c r="C815" t="s">
        <v>161</v>
      </c>
      <c r="D815" t="s">
        <v>25</v>
      </c>
      <c r="F815" t="s">
        <v>156</v>
      </c>
      <c r="G815">
        <v>2</v>
      </c>
      <c r="H815">
        <v>60</v>
      </c>
      <c r="I815">
        <f t="shared" si="408"/>
        <v>120</v>
      </c>
      <c r="J815" t="s">
        <v>165</v>
      </c>
      <c r="K815">
        <f t="shared" si="411"/>
        <v>31.666666666666668</v>
      </c>
      <c r="M815">
        <f t="shared" si="412"/>
        <v>63.333333333333336</v>
      </c>
      <c r="N815">
        <f t="shared" si="413"/>
        <v>56.666666666666664</v>
      </c>
    </row>
    <row r="816" spans="1:14" ht="15" customHeight="1" x14ac:dyDescent="0.25">
      <c r="A816">
        <v>367</v>
      </c>
      <c r="B816" s="1">
        <v>43882</v>
      </c>
      <c r="C816" t="s">
        <v>161</v>
      </c>
      <c r="D816" t="s">
        <v>15</v>
      </c>
      <c r="F816" t="s">
        <v>219</v>
      </c>
      <c r="G816">
        <v>2</v>
      </c>
      <c r="H816">
        <v>230</v>
      </c>
      <c r="I816">
        <f t="shared" si="408"/>
        <v>460</v>
      </c>
      <c r="J816" t="s">
        <v>163</v>
      </c>
      <c r="K816">
        <v>196</v>
      </c>
      <c r="M816">
        <f t="shared" si="412"/>
        <v>392</v>
      </c>
      <c r="N816">
        <f t="shared" si="413"/>
        <v>68</v>
      </c>
    </row>
    <row r="817" spans="1:14" ht="15" customHeight="1" x14ac:dyDescent="0.25">
      <c r="A817">
        <v>368</v>
      </c>
      <c r="B817" s="1">
        <v>43882</v>
      </c>
      <c r="C817" t="s">
        <v>161</v>
      </c>
      <c r="D817" t="s">
        <v>55</v>
      </c>
      <c r="F817" t="s">
        <v>39</v>
      </c>
      <c r="G817">
        <f>15/17</f>
        <v>0.88235294117647056</v>
      </c>
      <c r="H817">
        <v>300</v>
      </c>
      <c r="I817">
        <f t="shared" si="408"/>
        <v>264.70588235294116</v>
      </c>
      <c r="J817" t="s">
        <v>13</v>
      </c>
      <c r="K817">
        <v>280</v>
      </c>
      <c r="M817">
        <f t="shared" ref="M817:M819" si="414">+K817*G817</f>
        <v>247.05882352941177</v>
      </c>
      <c r="N817">
        <f t="shared" ref="N817:N819" si="415">+I817-M817</f>
        <v>17.647058823529392</v>
      </c>
    </row>
    <row r="818" spans="1:14" ht="15" customHeight="1" x14ac:dyDescent="0.25">
      <c r="A818">
        <v>369</v>
      </c>
      <c r="B818" s="1">
        <v>43882</v>
      </c>
      <c r="C818" t="s">
        <v>161</v>
      </c>
      <c r="D818" t="s">
        <v>15</v>
      </c>
      <c r="F818" t="s">
        <v>54</v>
      </c>
      <c r="G818">
        <v>5</v>
      </c>
      <c r="H818">
        <v>240</v>
      </c>
      <c r="I818">
        <f t="shared" si="408"/>
        <v>1200</v>
      </c>
      <c r="J818" t="s">
        <v>163</v>
      </c>
      <c r="K818">
        <v>213</v>
      </c>
      <c r="M818">
        <f t="shared" si="414"/>
        <v>1065</v>
      </c>
      <c r="N818">
        <f t="shared" si="415"/>
        <v>135</v>
      </c>
    </row>
    <row r="819" spans="1:14" ht="15" customHeight="1" x14ac:dyDescent="0.25">
      <c r="A819">
        <v>370</v>
      </c>
      <c r="B819" s="1">
        <v>43882</v>
      </c>
      <c r="C819" t="s">
        <v>161</v>
      </c>
      <c r="D819" t="s">
        <v>25</v>
      </c>
      <c r="F819" t="s">
        <v>145</v>
      </c>
      <c r="G819">
        <v>1</v>
      </c>
      <c r="H819">
        <v>100</v>
      </c>
      <c r="I819">
        <f t="shared" si="408"/>
        <v>100</v>
      </c>
      <c r="J819" t="s">
        <v>163</v>
      </c>
      <c r="K819">
        <v>69</v>
      </c>
      <c r="M819">
        <f t="shared" si="414"/>
        <v>69</v>
      </c>
      <c r="N819">
        <f t="shared" si="415"/>
        <v>31</v>
      </c>
    </row>
    <row r="820" spans="1:14" ht="15" customHeight="1" x14ac:dyDescent="0.25">
      <c r="A820">
        <v>371</v>
      </c>
      <c r="B820" s="1">
        <v>43882</v>
      </c>
      <c r="C820" t="s">
        <v>161</v>
      </c>
      <c r="D820" t="s">
        <v>44</v>
      </c>
      <c r="F820" t="s">
        <v>138</v>
      </c>
      <c r="G820">
        <v>1</v>
      </c>
      <c r="H820">
        <v>35</v>
      </c>
      <c r="I820">
        <f t="shared" si="408"/>
        <v>35</v>
      </c>
      <c r="J820" t="s">
        <v>198</v>
      </c>
      <c r="K820">
        <v>26</v>
      </c>
      <c r="M820">
        <f t="shared" ref="M820:M821" si="416">+K820*G820</f>
        <v>26</v>
      </c>
      <c r="N820">
        <f>+I820-M820</f>
        <v>9</v>
      </c>
    </row>
    <row r="821" spans="1:14" ht="15" customHeight="1" x14ac:dyDescent="0.25">
      <c r="A821">
        <v>372</v>
      </c>
      <c r="B821" s="1">
        <v>43882</v>
      </c>
      <c r="C821" t="s">
        <v>161</v>
      </c>
      <c r="D821" t="s">
        <v>56</v>
      </c>
      <c r="F821" t="s">
        <v>38</v>
      </c>
      <c r="G821">
        <v>25</v>
      </c>
      <c r="H821">
        <v>110</v>
      </c>
      <c r="I821">
        <f t="shared" si="408"/>
        <v>2750</v>
      </c>
      <c r="J821" t="s">
        <v>164</v>
      </c>
      <c r="K821">
        <v>70</v>
      </c>
      <c r="M821">
        <f t="shared" si="416"/>
        <v>1750</v>
      </c>
      <c r="N821">
        <f t="shared" ref="N821" si="417">+I821-M821</f>
        <v>1000</v>
      </c>
    </row>
    <row r="822" spans="1:14" ht="15" customHeight="1" x14ac:dyDescent="0.25">
      <c r="A822">
        <v>373</v>
      </c>
      <c r="B822" s="1">
        <v>43882</v>
      </c>
      <c r="C822" t="s">
        <v>161</v>
      </c>
      <c r="D822" t="s">
        <v>15</v>
      </c>
      <c r="F822" t="s">
        <v>20</v>
      </c>
      <c r="G822">
        <v>7</v>
      </c>
      <c r="H822">
        <v>235</v>
      </c>
      <c r="I822">
        <f t="shared" si="408"/>
        <v>1645</v>
      </c>
      <c r="J822" t="s">
        <v>163</v>
      </c>
      <c r="K822">
        <v>216</v>
      </c>
      <c r="M822">
        <f t="shared" ref="M822:M823" si="418">+K822*G822</f>
        <v>1512</v>
      </c>
      <c r="N822">
        <f t="shared" ref="N822:N823" si="419">+I822-M822</f>
        <v>133</v>
      </c>
    </row>
    <row r="823" spans="1:14" ht="15" customHeight="1" x14ac:dyDescent="0.25">
      <c r="A823">
        <v>374</v>
      </c>
      <c r="B823" s="1">
        <v>43882</v>
      </c>
      <c r="C823" t="s">
        <v>161</v>
      </c>
      <c r="D823" t="s">
        <v>15</v>
      </c>
      <c r="F823" t="s">
        <v>153</v>
      </c>
      <c r="G823">
        <v>1</v>
      </c>
      <c r="H823">
        <v>288</v>
      </c>
      <c r="I823">
        <f t="shared" si="408"/>
        <v>288</v>
      </c>
      <c r="J823" t="s">
        <v>163</v>
      </c>
      <c r="K823">
        <v>220</v>
      </c>
      <c r="M823">
        <f t="shared" si="418"/>
        <v>220</v>
      </c>
      <c r="N823">
        <f t="shared" si="419"/>
        <v>68</v>
      </c>
    </row>
    <row r="824" spans="1:14" ht="15" customHeight="1" x14ac:dyDescent="0.25">
      <c r="A824">
        <v>375</v>
      </c>
      <c r="B824" s="1">
        <v>43882</v>
      </c>
      <c r="C824" t="s">
        <v>161</v>
      </c>
      <c r="D824" t="s">
        <v>55</v>
      </c>
      <c r="F824" t="s">
        <v>97</v>
      </c>
      <c r="G824">
        <v>1</v>
      </c>
      <c r="H824">
        <v>280</v>
      </c>
      <c r="I824">
        <f t="shared" si="408"/>
        <v>280</v>
      </c>
      <c r="J824" t="s">
        <v>13</v>
      </c>
      <c r="K824">
        <v>230</v>
      </c>
      <c r="M824">
        <f t="shared" ref="M824:M826" si="420">+K824*G824</f>
        <v>230</v>
      </c>
      <c r="N824">
        <f t="shared" ref="N824:N826" si="421">+I824-M824</f>
        <v>50</v>
      </c>
    </row>
    <row r="825" spans="1:14" ht="15" customHeight="1" x14ac:dyDescent="0.25">
      <c r="A825">
        <v>376</v>
      </c>
      <c r="B825" s="1">
        <v>43882</v>
      </c>
      <c r="C825" t="s">
        <v>161</v>
      </c>
      <c r="D825" t="s">
        <v>15</v>
      </c>
      <c r="F825" t="s">
        <v>248</v>
      </c>
      <c r="G825">
        <v>7.22</v>
      </c>
      <c r="H825">
        <v>360</v>
      </c>
      <c r="I825">
        <f t="shared" si="408"/>
        <v>2599.1999999999998</v>
      </c>
      <c r="J825" t="s">
        <v>163</v>
      </c>
      <c r="K825">
        <v>272</v>
      </c>
      <c r="M825">
        <f t="shared" si="420"/>
        <v>1963.84</v>
      </c>
      <c r="N825">
        <f t="shared" si="421"/>
        <v>635.3599999999999</v>
      </c>
    </row>
    <row r="826" spans="1:14" ht="15" customHeight="1" x14ac:dyDescent="0.25">
      <c r="A826">
        <v>377</v>
      </c>
      <c r="B826" s="1">
        <v>43882</v>
      </c>
      <c r="C826" t="s">
        <v>161</v>
      </c>
      <c r="D826" t="s">
        <v>15</v>
      </c>
      <c r="F826" t="s">
        <v>153</v>
      </c>
      <c r="G826">
        <f>2/9</f>
        <v>0.22222222222222221</v>
      </c>
      <c r="H826">
        <v>288</v>
      </c>
      <c r="I826">
        <f t="shared" si="408"/>
        <v>64</v>
      </c>
      <c r="J826" t="s">
        <v>163</v>
      </c>
      <c r="K826">
        <v>220</v>
      </c>
      <c r="M826">
        <f t="shared" si="420"/>
        <v>48.888888888888886</v>
      </c>
      <c r="N826">
        <f t="shared" si="421"/>
        <v>15.111111111111114</v>
      </c>
    </row>
    <row r="827" spans="1:14" ht="15" customHeight="1" x14ac:dyDescent="0.25">
      <c r="A827">
        <v>378</v>
      </c>
      <c r="B827" s="1">
        <v>43883</v>
      </c>
      <c r="C827" t="s">
        <v>161</v>
      </c>
      <c r="D827" t="s">
        <v>26</v>
      </c>
      <c r="F827" t="s">
        <v>144</v>
      </c>
      <c r="G827">
        <f>2/2.77</f>
        <v>0.72202166064981954</v>
      </c>
      <c r="H827">
        <v>400</v>
      </c>
      <c r="I827">
        <f t="shared" si="408"/>
        <v>288.80866425992781</v>
      </c>
      <c r="J827" t="s">
        <v>99</v>
      </c>
      <c r="K827">
        <v>353</v>
      </c>
      <c r="M827">
        <f t="shared" ref="M827:M829" si="422">+K827*G827</f>
        <v>254.87364620938629</v>
      </c>
      <c r="N827">
        <f t="shared" ref="N827:N829" si="423">+I827-M827</f>
        <v>33.935018050541515</v>
      </c>
    </row>
    <row r="828" spans="1:14" ht="15" customHeight="1" x14ac:dyDescent="0.25">
      <c r="A828">
        <v>379</v>
      </c>
      <c r="B828" s="1">
        <v>43883</v>
      </c>
      <c r="C828" t="s">
        <v>161</v>
      </c>
      <c r="D828" t="s">
        <v>70</v>
      </c>
      <c r="F828" t="s">
        <v>227</v>
      </c>
      <c r="G828">
        <v>1</v>
      </c>
      <c r="H828">
        <v>1650</v>
      </c>
      <c r="I828">
        <f t="shared" si="408"/>
        <v>1650</v>
      </c>
      <c r="J828" t="s">
        <v>167</v>
      </c>
      <c r="K828">
        <v>1440</v>
      </c>
      <c r="M828">
        <f t="shared" si="422"/>
        <v>1440</v>
      </c>
      <c r="N828">
        <f t="shared" si="423"/>
        <v>210</v>
      </c>
    </row>
    <row r="829" spans="1:14" ht="15" customHeight="1" x14ac:dyDescent="0.25">
      <c r="A829">
        <v>380</v>
      </c>
      <c r="B829" s="1">
        <v>43883</v>
      </c>
      <c r="C829" t="s">
        <v>161</v>
      </c>
      <c r="D829" t="s">
        <v>85</v>
      </c>
      <c r="F829" t="s">
        <v>216</v>
      </c>
      <c r="G829">
        <v>1</v>
      </c>
      <c r="H829">
        <v>900</v>
      </c>
      <c r="I829">
        <f t="shared" si="408"/>
        <v>900</v>
      </c>
      <c r="J829" t="s">
        <v>167</v>
      </c>
      <c r="K829">
        <v>440</v>
      </c>
      <c r="M829">
        <f t="shared" si="422"/>
        <v>440</v>
      </c>
      <c r="N829">
        <f t="shared" si="423"/>
        <v>460</v>
      </c>
    </row>
    <row r="830" spans="1:14" ht="15" customHeight="1" x14ac:dyDescent="0.25">
      <c r="A830">
        <v>381</v>
      </c>
      <c r="B830" s="1">
        <v>43883</v>
      </c>
      <c r="C830" t="s">
        <v>161</v>
      </c>
      <c r="D830" t="s">
        <v>70</v>
      </c>
      <c r="F830" t="s">
        <v>152</v>
      </c>
      <c r="G830">
        <v>2</v>
      </c>
      <c r="H830">
        <v>85</v>
      </c>
      <c r="I830">
        <f t="shared" si="408"/>
        <v>170</v>
      </c>
      <c r="J830" t="s">
        <v>163</v>
      </c>
      <c r="K830">
        <v>67</v>
      </c>
      <c r="M830">
        <f t="shared" ref="M830" si="424">+K830*G830</f>
        <v>134</v>
      </c>
      <c r="N830">
        <f t="shared" ref="N830" si="425">+I830-M830</f>
        <v>36</v>
      </c>
    </row>
    <row r="831" spans="1:14" ht="15" customHeight="1" x14ac:dyDescent="0.25">
      <c r="A831">
        <v>382</v>
      </c>
      <c r="B831" s="1">
        <v>43883</v>
      </c>
      <c r="C831" t="s">
        <v>161</v>
      </c>
      <c r="D831" t="s">
        <v>85</v>
      </c>
      <c r="F831" t="s">
        <v>249</v>
      </c>
      <c r="G831">
        <v>1</v>
      </c>
      <c r="H831">
        <v>240</v>
      </c>
      <c r="I831">
        <f t="shared" si="408"/>
        <v>240</v>
      </c>
      <c r="J831" t="s">
        <v>166</v>
      </c>
    </row>
    <row r="832" spans="1:14" ht="15" customHeight="1" x14ac:dyDescent="0.25">
      <c r="A832">
        <v>383</v>
      </c>
      <c r="B832" s="1">
        <v>43883</v>
      </c>
      <c r="C832" t="s">
        <v>161</v>
      </c>
      <c r="D832" t="s">
        <v>56</v>
      </c>
      <c r="F832" t="s">
        <v>267</v>
      </c>
      <c r="G832">
        <v>3</v>
      </c>
      <c r="H832">
        <v>140</v>
      </c>
      <c r="I832">
        <f t="shared" si="408"/>
        <v>420</v>
      </c>
      <c r="J832" t="s">
        <v>163</v>
      </c>
      <c r="K832">
        <v>118</v>
      </c>
      <c r="M832">
        <f t="shared" ref="M832" si="426">+K832*G832</f>
        <v>354</v>
      </c>
      <c r="N832">
        <f t="shared" ref="N832" si="427">+I832-M832</f>
        <v>66</v>
      </c>
    </row>
    <row r="833" spans="1:14" ht="15" customHeight="1" x14ac:dyDescent="0.25">
      <c r="A833">
        <v>384</v>
      </c>
      <c r="B833" s="1">
        <v>43883</v>
      </c>
      <c r="C833" t="s">
        <v>161</v>
      </c>
      <c r="D833" t="s">
        <v>44</v>
      </c>
      <c r="F833" t="s">
        <v>138</v>
      </c>
      <c r="G833">
        <v>1</v>
      </c>
      <c r="H833">
        <v>35</v>
      </c>
      <c r="I833">
        <f t="shared" si="408"/>
        <v>35</v>
      </c>
      <c r="J833" t="s">
        <v>198</v>
      </c>
      <c r="K833">
        <v>26</v>
      </c>
      <c r="M833">
        <f t="shared" ref="M833" si="428">+K833*G833</f>
        <v>26</v>
      </c>
      <c r="N833">
        <f>+I833-M833</f>
        <v>9</v>
      </c>
    </row>
    <row r="834" spans="1:14" ht="15" customHeight="1" x14ac:dyDescent="0.25">
      <c r="A834">
        <v>385</v>
      </c>
      <c r="B834" s="1">
        <v>43883</v>
      </c>
      <c r="C834" t="s">
        <v>161</v>
      </c>
      <c r="D834" t="s">
        <v>25</v>
      </c>
      <c r="F834" t="s">
        <v>225</v>
      </c>
      <c r="G834">
        <v>2</v>
      </c>
      <c r="H834">
        <v>60</v>
      </c>
      <c r="I834">
        <f t="shared" si="408"/>
        <v>120</v>
      </c>
      <c r="J834" t="s">
        <v>165</v>
      </c>
      <c r="K834">
        <f>380/12</f>
        <v>31.666666666666668</v>
      </c>
      <c r="M834">
        <f t="shared" ref="M834" si="429">+K834*G834</f>
        <v>63.333333333333336</v>
      </c>
      <c r="N834">
        <f t="shared" ref="N834" si="430">+I834-M834</f>
        <v>56.666666666666664</v>
      </c>
    </row>
    <row r="835" spans="1:14" ht="15" customHeight="1" x14ac:dyDescent="0.25">
      <c r="A835">
        <v>386</v>
      </c>
      <c r="B835" s="1">
        <v>43883</v>
      </c>
      <c r="C835" t="s">
        <v>161</v>
      </c>
      <c r="D835" t="s">
        <v>24</v>
      </c>
      <c r="F835" t="s">
        <v>24</v>
      </c>
      <c r="G835">
        <v>0.5</v>
      </c>
      <c r="H835">
        <v>100</v>
      </c>
      <c r="I835">
        <f t="shared" si="408"/>
        <v>50</v>
      </c>
      <c r="J835" t="s">
        <v>186</v>
      </c>
      <c r="K835">
        <v>68.22</v>
      </c>
      <c r="M835">
        <f t="shared" ref="M835:M837" si="431">+K835*G835</f>
        <v>34.11</v>
      </c>
      <c r="N835">
        <f t="shared" ref="N835:N837" si="432">+I835-M835</f>
        <v>15.89</v>
      </c>
    </row>
    <row r="836" spans="1:14" ht="15" customHeight="1" x14ac:dyDescent="0.25">
      <c r="A836">
        <v>387</v>
      </c>
      <c r="B836" s="1">
        <v>43883</v>
      </c>
      <c r="C836" t="s">
        <v>161</v>
      </c>
      <c r="D836" t="s">
        <v>15</v>
      </c>
      <c r="F836" t="s">
        <v>95</v>
      </c>
      <c r="G836">
        <f>5/9</f>
        <v>0.55555555555555558</v>
      </c>
      <c r="H836">
        <v>280</v>
      </c>
      <c r="I836">
        <f t="shared" si="408"/>
        <v>155.55555555555557</v>
      </c>
      <c r="J836" t="s">
        <v>163</v>
      </c>
      <c r="K836">
        <v>215</v>
      </c>
      <c r="M836">
        <f t="shared" si="431"/>
        <v>119.44444444444444</v>
      </c>
      <c r="N836">
        <f t="shared" si="432"/>
        <v>36.111111111111128</v>
      </c>
    </row>
    <row r="837" spans="1:14" ht="15" customHeight="1" x14ac:dyDescent="0.25">
      <c r="A837">
        <v>388</v>
      </c>
      <c r="B837" s="1">
        <v>43883</v>
      </c>
      <c r="C837" t="s">
        <v>161</v>
      </c>
      <c r="D837" t="s">
        <v>15</v>
      </c>
      <c r="F837" t="s">
        <v>29</v>
      </c>
      <c r="G837">
        <v>1</v>
      </c>
      <c r="H837">
        <v>230</v>
      </c>
      <c r="I837">
        <f t="shared" si="408"/>
        <v>230</v>
      </c>
      <c r="J837" t="s">
        <v>163</v>
      </c>
      <c r="K837">
        <v>196</v>
      </c>
      <c r="M837">
        <f t="shared" si="431"/>
        <v>196</v>
      </c>
      <c r="N837">
        <f t="shared" si="432"/>
        <v>34</v>
      </c>
    </row>
    <row r="838" spans="1:14" ht="15" customHeight="1" x14ac:dyDescent="0.25">
      <c r="A838">
        <v>389</v>
      </c>
      <c r="B838" s="1">
        <v>43883</v>
      </c>
      <c r="C838" t="s">
        <v>161</v>
      </c>
      <c r="D838" t="s">
        <v>24</v>
      </c>
      <c r="F838" t="s">
        <v>24</v>
      </c>
      <c r="G838">
        <v>2</v>
      </c>
      <c r="H838">
        <v>100</v>
      </c>
      <c r="I838">
        <f t="shared" si="408"/>
        <v>200</v>
      </c>
      <c r="J838" t="s">
        <v>186</v>
      </c>
      <c r="K838">
        <v>68.22</v>
      </c>
      <c r="M838">
        <f t="shared" ref="M838:M841" si="433">+K838*G838</f>
        <v>136.44</v>
      </c>
      <c r="N838">
        <f t="shared" ref="N838:N841" si="434">+I838-M838</f>
        <v>63.56</v>
      </c>
    </row>
    <row r="839" spans="1:14" ht="15" customHeight="1" x14ac:dyDescent="0.25">
      <c r="A839">
        <v>390</v>
      </c>
      <c r="B839" s="1">
        <v>43883</v>
      </c>
      <c r="C839" t="s">
        <v>161</v>
      </c>
      <c r="D839" t="s">
        <v>15</v>
      </c>
      <c r="F839" t="s">
        <v>29</v>
      </c>
      <c r="G839">
        <v>1</v>
      </c>
      <c r="H839">
        <v>230</v>
      </c>
      <c r="I839">
        <f t="shared" si="408"/>
        <v>230</v>
      </c>
      <c r="J839" t="s">
        <v>163</v>
      </c>
      <c r="K839">
        <v>196</v>
      </c>
      <c r="M839">
        <f t="shared" si="433"/>
        <v>196</v>
      </c>
      <c r="N839">
        <f t="shared" si="434"/>
        <v>34</v>
      </c>
    </row>
    <row r="840" spans="1:14" ht="15" customHeight="1" x14ac:dyDescent="0.25">
      <c r="A840">
        <v>391</v>
      </c>
      <c r="B840" s="1">
        <v>43883</v>
      </c>
      <c r="C840" t="s">
        <v>161</v>
      </c>
      <c r="D840" t="s">
        <v>15</v>
      </c>
      <c r="F840" t="s">
        <v>219</v>
      </c>
      <c r="G840">
        <v>7</v>
      </c>
      <c r="H840">
        <v>230</v>
      </c>
      <c r="I840">
        <f t="shared" si="408"/>
        <v>1610</v>
      </c>
      <c r="J840" t="s">
        <v>163</v>
      </c>
      <c r="K840">
        <v>196</v>
      </c>
      <c r="M840">
        <f t="shared" si="433"/>
        <v>1372</v>
      </c>
      <c r="N840">
        <f t="shared" si="434"/>
        <v>238</v>
      </c>
    </row>
    <row r="841" spans="1:14" ht="15" customHeight="1" x14ac:dyDescent="0.25">
      <c r="A841">
        <v>392</v>
      </c>
      <c r="B841" s="1">
        <v>43883</v>
      </c>
      <c r="C841" t="s">
        <v>161</v>
      </c>
      <c r="D841" t="s">
        <v>15</v>
      </c>
      <c r="F841" t="s">
        <v>54</v>
      </c>
      <c r="G841">
        <v>20</v>
      </c>
      <c r="H841">
        <v>240</v>
      </c>
      <c r="I841">
        <f t="shared" si="408"/>
        <v>4800</v>
      </c>
      <c r="J841" t="s">
        <v>163</v>
      </c>
      <c r="K841">
        <v>213</v>
      </c>
      <c r="M841">
        <f t="shared" si="433"/>
        <v>4260</v>
      </c>
      <c r="N841">
        <f t="shared" si="434"/>
        <v>540</v>
      </c>
    </row>
    <row r="842" spans="1:14" ht="15" customHeight="1" x14ac:dyDescent="0.25">
      <c r="A842">
        <v>393</v>
      </c>
      <c r="B842" s="1">
        <v>43883</v>
      </c>
      <c r="C842" t="s">
        <v>161</v>
      </c>
      <c r="D842" t="s">
        <v>55</v>
      </c>
      <c r="F842" t="s">
        <v>97</v>
      </c>
      <c r="G842">
        <v>7</v>
      </c>
      <c r="H842">
        <v>280</v>
      </c>
      <c r="I842">
        <f t="shared" si="408"/>
        <v>1960</v>
      </c>
      <c r="J842" t="s">
        <v>13</v>
      </c>
      <c r="K842">
        <v>230</v>
      </c>
      <c r="M842">
        <f t="shared" ref="M842" si="435">+K842*G842</f>
        <v>1610</v>
      </c>
      <c r="N842">
        <f t="shared" ref="N842" si="436">+I842-M842</f>
        <v>350</v>
      </c>
    </row>
    <row r="843" spans="1:14" ht="15" customHeight="1" x14ac:dyDescent="0.25">
      <c r="A843">
        <v>394</v>
      </c>
      <c r="B843" s="1">
        <v>43883</v>
      </c>
      <c r="C843" t="s">
        <v>161</v>
      </c>
      <c r="D843" t="s">
        <v>92</v>
      </c>
      <c r="F843" t="s">
        <v>250</v>
      </c>
      <c r="G843">
        <v>1</v>
      </c>
      <c r="H843">
        <v>180</v>
      </c>
      <c r="I843">
        <f t="shared" si="408"/>
        <v>180</v>
      </c>
      <c r="J843" t="s">
        <v>166</v>
      </c>
      <c r="K843">
        <v>125</v>
      </c>
      <c r="M843">
        <f t="shared" ref="M843:M848" si="437">+K843*G843</f>
        <v>125</v>
      </c>
      <c r="N843">
        <f t="shared" ref="N843:N846" si="438">+I843-M843</f>
        <v>55</v>
      </c>
    </row>
    <row r="844" spans="1:14" ht="15" customHeight="1" x14ac:dyDescent="0.25">
      <c r="A844">
        <v>395</v>
      </c>
      <c r="B844" s="1">
        <v>43883</v>
      </c>
      <c r="C844" t="s">
        <v>161</v>
      </c>
      <c r="D844" t="s">
        <v>92</v>
      </c>
      <c r="F844" t="s">
        <v>98</v>
      </c>
      <c r="G844">
        <v>1</v>
      </c>
      <c r="H844">
        <v>150</v>
      </c>
      <c r="I844">
        <f t="shared" si="408"/>
        <v>150</v>
      </c>
      <c r="J844" t="s">
        <v>166</v>
      </c>
      <c r="K844">
        <v>100</v>
      </c>
      <c r="M844">
        <f t="shared" si="437"/>
        <v>100</v>
      </c>
      <c r="N844">
        <f t="shared" si="438"/>
        <v>50</v>
      </c>
    </row>
    <row r="845" spans="1:14" ht="15" customHeight="1" x14ac:dyDescent="0.25">
      <c r="A845">
        <v>396</v>
      </c>
      <c r="B845" s="1">
        <v>43883</v>
      </c>
      <c r="C845" t="s">
        <v>161</v>
      </c>
      <c r="D845" t="s">
        <v>92</v>
      </c>
      <c r="F845" t="s">
        <v>136</v>
      </c>
      <c r="G845">
        <v>1</v>
      </c>
      <c r="H845">
        <v>280</v>
      </c>
      <c r="I845">
        <f t="shared" si="408"/>
        <v>280</v>
      </c>
      <c r="J845" t="s">
        <v>166</v>
      </c>
      <c r="K845">
        <v>180</v>
      </c>
      <c r="M845">
        <f t="shared" si="437"/>
        <v>180</v>
      </c>
      <c r="N845">
        <f t="shared" si="438"/>
        <v>100</v>
      </c>
    </row>
    <row r="846" spans="1:14" ht="15" customHeight="1" x14ac:dyDescent="0.25">
      <c r="A846">
        <v>397</v>
      </c>
      <c r="B846" s="1">
        <v>43883</v>
      </c>
      <c r="C846" t="s">
        <v>161</v>
      </c>
      <c r="D846" t="s">
        <v>55</v>
      </c>
      <c r="F846" t="s">
        <v>97</v>
      </c>
      <c r="G846">
        <f>4/16</f>
        <v>0.25</v>
      </c>
      <c r="H846">
        <v>280</v>
      </c>
      <c r="I846">
        <f t="shared" si="408"/>
        <v>70</v>
      </c>
      <c r="J846" t="s">
        <v>13</v>
      </c>
      <c r="K846">
        <v>230</v>
      </c>
      <c r="M846">
        <f t="shared" si="437"/>
        <v>57.5</v>
      </c>
      <c r="N846">
        <f t="shared" si="438"/>
        <v>12.5</v>
      </c>
    </row>
    <row r="847" spans="1:14" ht="15" customHeight="1" x14ac:dyDescent="0.25">
      <c r="A847">
        <v>398</v>
      </c>
      <c r="B847" s="1">
        <v>43883</v>
      </c>
      <c r="C847" t="s">
        <v>161</v>
      </c>
      <c r="D847" t="s">
        <v>92</v>
      </c>
      <c r="F847" t="s">
        <v>251</v>
      </c>
      <c r="G847">
        <v>1</v>
      </c>
      <c r="H847">
        <v>270</v>
      </c>
      <c r="I847">
        <f t="shared" si="408"/>
        <v>270</v>
      </c>
      <c r="J847" t="s">
        <v>198</v>
      </c>
      <c r="K847">
        <v>200</v>
      </c>
      <c r="M847">
        <f t="shared" si="437"/>
        <v>200</v>
      </c>
      <c r="N847">
        <f>+I847-M847</f>
        <v>70</v>
      </c>
    </row>
    <row r="848" spans="1:14" ht="15" customHeight="1" x14ac:dyDescent="0.25">
      <c r="A848">
        <v>399</v>
      </c>
      <c r="B848" s="1">
        <v>43883</v>
      </c>
      <c r="C848" t="s">
        <v>161</v>
      </c>
      <c r="D848" t="s">
        <v>15</v>
      </c>
      <c r="F848" t="s">
        <v>34</v>
      </c>
      <c r="G848">
        <v>2</v>
      </c>
      <c r="H848">
        <v>230</v>
      </c>
      <c r="I848">
        <f t="shared" si="408"/>
        <v>460</v>
      </c>
      <c r="J848" t="s">
        <v>163</v>
      </c>
      <c r="K848">
        <v>196</v>
      </c>
      <c r="M848">
        <f t="shared" si="437"/>
        <v>392</v>
      </c>
      <c r="N848">
        <f t="shared" ref="N848" si="439">+I848-M848</f>
        <v>68</v>
      </c>
    </row>
    <row r="849" spans="1:14" ht="15" customHeight="1" x14ac:dyDescent="0.25">
      <c r="A849">
        <v>400</v>
      </c>
      <c r="B849" s="1">
        <v>43883</v>
      </c>
      <c r="C849" t="s">
        <v>161</v>
      </c>
      <c r="D849" t="s">
        <v>25</v>
      </c>
      <c r="F849" t="s">
        <v>71</v>
      </c>
      <c r="G849">
        <v>1</v>
      </c>
      <c r="H849">
        <v>60</v>
      </c>
      <c r="I849">
        <f t="shared" si="408"/>
        <v>60</v>
      </c>
      <c r="J849" t="s">
        <v>165</v>
      </c>
      <c r="K849">
        <f>380/12</f>
        <v>31.666666666666668</v>
      </c>
      <c r="M849">
        <f t="shared" ref="M849:M850" si="440">+K849*G849</f>
        <v>31.666666666666668</v>
      </c>
      <c r="N849">
        <f t="shared" ref="N849:N850" si="441">+I849-M849</f>
        <v>28.333333333333332</v>
      </c>
    </row>
    <row r="850" spans="1:14" ht="15" customHeight="1" x14ac:dyDescent="0.25">
      <c r="A850">
        <v>401</v>
      </c>
      <c r="B850" s="1">
        <v>43883</v>
      </c>
      <c r="C850" t="s">
        <v>161</v>
      </c>
      <c r="D850" t="s">
        <v>15</v>
      </c>
      <c r="F850" t="s">
        <v>20</v>
      </c>
      <c r="G850">
        <v>85</v>
      </c>
      <c r="H850">
        <v>240</v>
      </c>
      <c r="I850">
        <f t="shared" si="408"/>
        <v>20400</v>
      </c>
      <c r="J850" t="s">
        <v>163</v>
      </c>
      <c r="K850">
        <v>216</v>
      </c>
      <c r="M850">
        <f t="shared" si="440"/>
        <v>18360</v>
      </c>
      <c r="N850">
        <f t="shared" si="441"/>
        <v>2040</v>
      </c>
    </row>
    <row r="851" spans="1:14" ht="15" customHeight="1" x14ac:dyDescent="0.25">
      <c r="A851">
        <v>402</v>
      </c>
      <c r="B851" s="1">
        <v>43883</v>
      </c>
      <c r="C851" t="s">
        <v>161</v>
      </c>
      <c r="D851" t="s">
        <v>55</v>
      </c>
      <c r="F851" t="s">
        <v>97</v>
      </c>
      <c r="G851">
        <v>8</v>
      </c>
      <c r="H851">
        <v>280</v>
      </c>
      <c r="I851">
        <f t="shared" si="408"/>
        <v>2240</v>
      </c>
      <c r="J851" t="s">
        <v>13</v>
      </c>
      <c r="K851">
        <v>230</v>
      </c>
      <c r="M851">
        <f t="shared" ref="M851:M856" si="442">+K851*G851</f>
        <v>1840</v>
      </c>
      <c r="N851">
        <f t="shared" ref="N851:N856" si="443">+I851-M851</f>
        <v>400</v>
      </c>
    </row>
    <row r="852" spans="1:14" ht="15" customHeight="1" x14ac:dyDescent="0.25">
      <c r="A852">
        <v>403</v>
      </c>
      <c r="B852" s="1">
        <v>43883</v>
      </c>
      <c r="C852" t="s">
        <v>161</v>
      </c>
      <c r="D852" t="s">
        <v>56</v>
      </c>
      <c r="F852" t="s">
        <v>267</v>
      </c>
      <c r="G852">
        <v>35</v>
      </c>
      <c r="H852">
        <v>170</v>
      </c>
      <c r="I852">
        <f t="shared" si="408"/>
        <v>5950</v>
      </c>
      <c r="J852" t="s">
        <v>163</v>
      </c>
      <c r="K852">
        <v>118</v>
      </c>
      <c r="M852">
        <f t="shared" si="442"/>
        <v>4130</v>
      </c>
      <c r="N852">
        <f t="shared" si="443"/>
        <v>1820</v>
      </c>
    </row>
    <row r="853" spans="1:14" ht="15" customHeight="1" x14ac:dyDescent="0.25">
      <c r="A853">
        <v>404</v>
      </c>
      <c r="B853" s="1">
        <v>43883</v>
      </c>
      <c r="C853" t="s">
        <v>161</v>
      </c>
      <c r="D853" t="s">
        <v>15</v>
      </c>
      <c r="F853" t="s">
        <v>252</v>
      </c>
      <c r="G853">
        <v>8</v>
      </c>
      <c r="H853">
        <v>280</v>
      </c>
      <c r="I853">
        <f t="shared" si="408"/>
        <v>2240</v>
      </c>
      <c r="J853" t="s">
        <v>163</v>
      </c>
      <c r="K853">
        <v>215</v>
      </c>
      <c r="M853">
        <f t="shared" si="442"/>
        <v>1720</v>
      </c>
      <c r="N853">
        <f t="shared" si="443"/>
        <v>520</v>
      </c>
    </row>
    <row r="854" spans="1:14" ht="15" customHeight="1" x14ac:dyDescent="0.25">
      <c r="A854">
        <v>405</v>
      </c>
      <c r="B854" s="1">
        <v>43883</v>
      </c>
      <c r="C854" t="s">
        <v>161</v>
      </c>
      <c r="D854" t="s">
        <v>70</v>
      </c>
      <c r="F854" t="s">
        <v>227</v>
      </c>
      <c r="G854">
        <v>1</v>
      </c>
      <c r="H854">
        <v>1650</v>
      </c>
      <c r="I854">
        <f t="shared" si="408"/>
        <v>1650</v>
      </c>
      <c r="J854" t="s">
        <v>167</v>
      </c>
      <c r="K854">
        <v>1440</v>
      </c>
      <c r="M854">
        <f t="shared" si="442"/>
        <v>1440</v>
      </c>
      <c r="N854">
        <f t="shared" si="443"/>
        <v>210</v>
      </c>
    </row>
    <row r="855" spans="1:14" ht="15" customHeight="1" x14ac:dyDescent="0.25">
      <c r="A855">
        <v>406</v>
      </c>
      <c r="B855" s="1">
        <v>43883</v>
      </c>
      <c r="C855" t="s">
        <v>161</v>
      </c>
      <c r="D855" t="s">
        <v>85</v>
      </c>
      <c r="F855" t="s">
        <v>216</v>
      </c>
      <c r="G855">
        <v>1</v>
      </c>
      <c r="H855">
        <v>900</v>
      </c>
      <c r="I855">
        <f t="shared" si="408"/>
        <v>900</v>
      </c>
      <c r="J855" t="s">
        <v>167</v>
      </c>
      <c r="K855">
        <v>440</v>
      </c>
      <c r="M855">
        <f t="shared" si="442"/>
        <v>440</v>
      </c>
      <c r="N855">
        <f t="shared" si="443"/>
        <v>460</v>
      </c>
    </row>
    <row r="856" spans="1:14" ht="15" customHeight="1" x14ac:dyDescent="0.25">
      <c r="A856">
        <v>407</v>
      </c>
      <c r="B856" s="1">
        <v>43883</v>
      </c>
      <c r="C856" t="s">
        <v>161</v>
      </c>
      <c r="D856" t="s">
        <v>85</v>
      </c>
      <c r="F856" t="s">
        <v>253</v>
      </c>
      <c r="G856">
        <v>1</v>
      </c>
      <c r="H856">
        <v>900</v>
      </c>
      <c r="I856">
        <f t="shared" si="408"/>
        <v>900</v>
      </c>
      <c r="J856" t="s">
        <v>167</v>
      </c>
      <c r="K856">
        <v>395</v>
      </c>
      <c r="M856">
        <f t="shared" si="442"/>
        <v>395</v>
      </c>
      <c r="N856">
        <f t="shared" si="443"/>
        <v>505</v>
      </c>
    </row>
    <row r="857" spans="1:14" ht="15" customHeight="1" x14ac:dyDescent="0.25">
      <c r="A857">
        <v>408</v>
      </c>
      <c r="B857" s="1">
        <v>43883</v>
      </c>
      <c r="C857" t="s">
        <v>161</v>
      </c>
      <c r="D857" t="s">
        <v>44</v>
      </c>
      <c r="F857" t="s">
        <v>133</v>
      </c>
      <c r="G857">
        <v>1</v>
      </c>
      <c r="H857">
        <v>35</v>
      </c>
      <c r="I857">
        <f t="shared" si="408"/>
        <v>35</v>
      </c>
      <c r="J857" t="s">
        <v>198</v>
      </c>
      <c r="K857">
        <v>26</v>
      </c>
      <c r="M857">
        <f t="shared" ref="M857" si="444">+K857*G857</f>
        <v>26</v>
      </c>
      <c r="N857">
        <f>+I857-M857</f>
        <v>9</v>
      </c>
    </row>
    <row r="858" spans="1:14" ht="15" customHeight="1" x14ac:dyDescent="0.25">
      <c r="A858">
        <v>409</v>
      </c>
      <c r="B858" s="1">
        <v>43883</v>
      </c>
      <c r="C858" t="s">
        <v>161</v>
      </c>
      <c r="D858" t="s">
        <v>55</v>
      </c>
      <c r="F858" t="s">
        <v>22</v>
      </c>
      <c r="G858">
        <v>4</v>
      </c>
      <c r="H858">
        <v>300</v>
      </c>
      <c r="I858">
        <f t="shared" si="408"/>
        <v>1200</v>
      </c>
      <c r="J858" t="s">
        <v>13</v>
      </c>
      <c r="K858">
        <v>280</v>
      </c>
      <c r="M858">
        <f t="shared" ref="M858:M864" si="445">+K858*G858</f>
        <v>1120</v>
      </c>
      <c r="N858">
        <f t="shared" ref="N858:N864" si="446">+I858-M858</f>
        <v>80</v>
      </c>
    </row>
    <row r="859" spans="1:14" ht="15" customHeight="1" x14ac:dyDescent="0.25">
      <c r="A859">
        <v>410</v>
      </c>
      <c r="B859" s="1">
        <v>43883</v>
      </c>
      <c r="C859" t="s">
        <v>161</v>
      </c>
      <c r="D859" t="s">
        <v>25</v>
      </c>
      <c r="F859" t="s">
        <v>147</v>
      </c>
      <c r="G859">
        <v>9</v>
      </c>
      <c r="H859">
        <v>60</v>
      </c>
      <c r="I859">
        <f t="shared" si="408"/>
        <v>540</v>
      </c>
      <c r="J859" t="s">
        <v>165</v>
      </c>
      <c r="K859">
        <f>380/12</f>
        <v>31.666666666666668</v>
      </c>
      <c r="M859">
        <f t="shared" si="445"/>
        <v>285</v>
      </c>
      <c r="N859">
        <f t="shared" si="446"/>
        <v>255</v>
      </c>
    </row>
    <row r="860" spans="1:14" ht="15" customHeight="1" x14ac:dyDescent="0.25">
      <c r="A860">
        <v>411</v>
      </c>
      <c r="B860" s="1">
        <v>43883</v>
      </c>
      <c r="C860" t="s">
        <v>161</v>
      </c>
      <c r="D860" t="s">
        <v>15</v>
      </c>
      <c r="F860" t="s">
        <v>219</v>
      </c>
      <c r="G860">
        <v>1.53</v>
      </c>
      <c r="H860">
        <v>230</v>
      </c>
      <c r="I860">
        <f t="shared" si="408"/>
        <v>351.90000000000003</v>
      </c>
      <c r="J860" t="s">
        <v>163</v>
      </c>
      <c r="K860">
        <v>196</v>
      </c>
      <c r="M860">
        <f t="shared" si="445"/>
        <v>299.88</v>
      </c>
      <c r="N860">
        <f t="shared" si="446"/>
        <v>52.020000000000039</v>
      </c>
    </row>
    <row r="861" spans="1:14" ht="15" customHeight="1" x14ac:dyDescent="0.25">
      <c r="A861">
        <v>412</v>
      </c>
      <c r="B861" s="1">
        <v>43883</v>
      </c>
      <c r="C861" t="s">
        <v>161</v>
      </c>
      <c r="D861" t="s">
        <v>56</v>
      </c>
      <c r="F861" t="s">
        <v>267</v>
      </c>
      <c r="G861">
        <v>1</v>
      </c>
      <c r="H861">
        <v>170</v>
      </c>
      <c r="I861">
        <f t="shared" si="408"/>
        <v>170</v>
      </c>
      <c r="J861" t="s">
        <v>163</v>
      </c>
      <c r="K861">
        <v>118</v>
      </c>
      <c r="M861">
        <f t="shared" si="445"/>
        <v>118</v>
      </c>
      <c r="N861">
        <f t="shared" si="446"/>
        <v>52</v>
      </c>
    </row>
    <row r="862" spans="1:14" ht="15" customHeight="1" x14ac:dyDescent="0.25">
      <c r="A862">
        <v>413</v>
      </c>
      <c r="B862" s="1">
        <v>43883</v>
      </c>
      <c r="C862" t="s">
        <v>161</v>
      </c>
      <c r="D862" t="s">
        <v>15</v>
      </c>
      <c r="F862" t="s">
        <v>80</v>
      </c>
      <c r="G862">
        <f>6/4</f>
        <v>1.5</v>
      </c>
      <c r="H862">
        <v>240</v>
      </c>
      <c r="I862">
        <f t="shared" si="408"/>
        <v>360</v>
      </c>
      <c r="J862" t="s">
        <v>163</v>
      </c>
      <c r="K862">
        <v>212</v>
      </c>
      <c r="M862">
        <f t="shared" si="445"/>
        <v>318</v>
      </c>
      <c r="N862">
        <f t="shared" si="446"/>
        <v>42</v>
      </c>
    </row>
    <row r="863" spans="1:14" ht="15" customHeight="1" x14ac:dyDescent="0.25">
      <c r="A863">
        <v>414</v>
      </c>
      <c r="B863" s="1">
        <v>43883</v>
      </c>
      <c r="C863" t="s">
        <v>161</v>
      </c>
      <c r="D863" t="s">
        <v>15</v>
      </c>
      <c r="F863" t="s">
        <v>96</v>
      </c>
      <c r="G863">
        <v>17</v>
      </c>
      <c r="H863">
        <v>230</v>
      </c>
      <c r="I863">
        <f t="shared" si="408"/>
        <v>3910</v>
      </c>
      <c r="J863" t="s">
        <v>163</v>
      </c>
      <c r="K863">
        <v>184</v>
      </c>
      <c r="M863">
        <f t="shared" si="445"/>
        <v>3128</v>
      </c>
      <c r="N863">
        <f t="shared" si="446"/>
        <v>782</v>
      </c>
    </row>
    <row r="864" spans="1:14" ht="15" customHeight="1" x14ac:dyDescent="0.25">
      <c r="A864">
        <v>415</v>
      </c>
      <c r="B864" s="1">
        <v>43885</v>
      </c>
      <c r="C864" t="s">
        <v>161</v>
      </c>
      <c r="D864" t="s">
        <v>56</v>
      </c>
      <c r="F864" t="s">
        <v>267</v>
      </c>
      <c r="G864">
        <v>10</v>
      </c>
      <c r="H864">
        <v>170</v>
      </c>
      <c r="I864">
        <f t="shared" si="408"/>
        <v>1700</v>
      </c>
      <c r="J864" t="s">
        <v>163</v>
      </c>
      <c r="K864">
        <v>118</v>
      </c>
      <c r="M864">
        <f t="shared" si="445"/>
        <v>1180</v>
      </c>
      <c r="N864">
        <f t="shared" si="446"/>
        <v>520</v>
      </c>
    </row>
    <row r="865" spans="1:14" ht="15" customHeight="1" x14ac:dyDescent="0.25">
      <c r="A865">
        <v>416</v>
      </c>
      <c r="B865" s="1">
        <v>43885</v>
      </c>
      <c r="C865" t="s">
        <v>161</v>
      </c>
      <c r="D865" t="s">
        <v>25</v>
      </c>
      <c r="F865" t="s">
        <v>127</v>
      </c>
      <c r="G865">
        <v>2</v>
      </c>
      <c r="H865">
        <v>60</v>
      </c>
      <c r="I865">
        <f t="shared" si="408"/>
        <v>120</v>
      </c>
      <c r="J865" t="s">
        <v>165</v>
      </c>
      <c r="K865">
        <f>380/12</f>
        <v>31.666666666666668</v>
      </c>
      <c r="M865">
        <f t="shared" ref="M865:M868" si="447">+K865*G865</f>
        <v>63.333333333333336</v>
      </c>
      <c r="N865">
        <f t="shared" ref="N865:N868" si="448">+I865-M865</f>
        <v>56.666666666666664</v>
      </c>
    </row>
    <row r="866" spans="1:14" ht="15" customHeight="1" x14ac:dyDescent="0.25">
      <c r="A866">
        <v>417</v>
      </c>
      <c r="B866" s="1">
        <v>43885</v>
      </c>
      <c r="C866" t="s">
        <v>161</v>
      </c>
      <c r="D866" t="s">
        <v>15</v>
      </c>
      <c r="F866" t="s">
        <v>153</v>
      </c>
      <c r="G866">
        <v>2</v>
      </c>
      <c r="H866">
        <v>288</v>
      </c>
      <c r="I866">
        <f t="shared" si="408"/>
        <v>576</v>
      </c>
      <c r="J866" t="s">
        <v>163</v>
      </c>
      <c r="K866">
        <v>220</v>
      </c>
      <c r="M866">
        <f t="shared" si="447"/>
        <v>440</v>
      </c>
      <c r="N866">
        <f t="shared" si="448"/>
        <v>136</v>
      </c>
    </row>
    <row r="867" spans="1:14" ht="15" customHeight="1" x14ac:dyDescent="0.25">
      <c r="A867">
        <v>418</v>
      </c>
      <c r="B867" s="1">
        <v>43885</v>
      </c>
      <c r="C867" t="s">
        <v>161</v>
      </c>
      <c r="D867" t="s">
        <v>15</v>
      </c>
      <c r="F867" t="s">
        <v>29</v>
      </c>
      <c r="G867">
        <v>1</v>
      </c>
      <c r="H867">
        <v>230</v>
      </c>
      <c r="I867">
        <f t="shared" si="408"/>
        <v>230</v>
      </c>
      <c r="J867" t="s">
        <v>163</v>
      </c>
      <c r="K867">
        <v>196</v>
      </c>
      <c r="M867">
        <f t="shared" si="447"/>
        <v>196</v>
      </c>
      <c r="N867">
        <f t="shared" si="448"/>
        <v>34</v>
      </c>
    </row>
    <row r="868" spans="1:14" x14ac:dyDescent="0.25">
      <c r="A868">
        <v>419</v>
      </c>
      <c r="B868" s="1">
        <v>43885</v>
      </c>
      <c r="C868" t="s">
        <v>161</v>
      </c>
      <c r="D868" t="s">
        <v>15</v>
      </c>
      <c r="F868" t="s">
        <v>76</v>
      </c>
      <c r="G868">
        <v>14</v>
      </c>
      <c r="H868">
        <v>230</v>
      </c>
      <c r="I868">
        <f t="shared" si="408"/>
        <v>3220</v>
      </c>
      <c r="J868" t="s">
        <v>163</v>
      </c>
      <c r="K868">
        <v>200</v>
      </c>
      <c r="M868">
        <f t="shared" si="447"/>
        <v>2800</v>
      </c>
      <c r="N868">
        <f t="shared" si="448"/>
        <v>420</v>
      </c>
    </row>
    <row r="869" spans="1:14" ht="15" customHeight="1" x14ac:dyDescent="0.25">
      <c r="A869">
        <v>420</v>
      </c>
      <c r="B869" s="1">
        <v>43885</v>
      </c>
      <c r="C869" t="s">
        <v>161</v>
      </c>
      <c r="D869" t="s">
        <v>25</v>
      </c>
      <c r="F869" t="s">
        <v>25</v>
      </c>
      <c r="G869">
        <v>3</v>
      </c>
      <c r="H869">
        <v>60</v>
      </c>
      <c r="I869">
        <f t="shared" si="408"/>
        <v>180</v>
      </c>
      <c r="J869" t="s">
        <v>165</v>
      </c>
      <c r="K869">
        <f>380/12</f>
        <v>31.666666666666668</v>
      </c>
      <c r="M869">
        <f t="shared" ref="M869:M873" si="449">+K869*G869</f>
        <v>95</v>
      </c>
      <c r="N869">
        <f t="shared" ref="N869:N872" si="450">+I869-M869</f>
        <v>85</v>
      </c>
    </row>
    <row r="870" spans="1:14" ht="15" customHeight="1" x14ac:dyDescent="0.25">
      <c r="A870">
        <v>421</v>
      </c>
      <c r="B870" s="1">
        <v>43885</v>
      </c>
      <c r="C870" t="s">
        <v>161</v>
      </c>
      <c r="D870" t="s">
        <v>56</v>
      </c>
      <c r="F870" t="s">
        <v>267</v>
      </c>
      <c r="G870">
        <v>2</v>
      </c>
      <c r="H870">
        <v>170</v>
      </c>
      <c r="I870">
        <f t="shared" si="408"/>
        <v>340</v>
      </c>
      <c r="J870" t="s">
        <v>163</v>
      </c>
      <c r="K870">
        <v>118</v>
      </c>
      <c r="M870">
        <f t="shared" si="449"/>
        <v>236</v>
      </c>
      <c r="N870">
        <f t="shared" si="450"/>
        <v>104</v>
      </c>
    </row>
    <row r="871" spans="1:14" ht="15" customHeight="1" x14ac:dyDescent="0.25">
      <c r="A871">
        <v>422</v>
      </c>
      <c r="B871" s="1">
        <v>43885</v>
      </c>
      <c r="C871" t="s">
        <v>161</v>
      </c>
      <c r="D871" t="s">
        <v>15</v>
      </c>
      <c r="F871" t="s">
        <v>54</v>
      </c>
      <c r="G871">
        <v>6</v>
      </c>
      <c r="H871">
        <v>240</v>
      </c>
      <c r="I871">
        <f t="shared" si="408"/>
        <v>1440</v>
      </c>
      <c r="J871" t="s">
        <v>163</v>
      </c>
      <c r="K871">
        <v>213</v>
      </c>
      <c r="M871">
        <f t="shared" si="449"/>
        <v>1278</v>
      </c>
      <c r="N871">
        <f t="shared" si="450"/>
        <v>162</v>
      </c>
    </row>
    <row r="872" spans="1:14" ht="15" customHeight="1" x14ac:dyDescent="0.25">
      <c r="A872">
        <v>423</v>
      </c>
      <c r="B872" s="1">
        <v>43885</v>
      </c>
      <c r="C872" t="s">
        <v>161</v>
      </c>
      <c r="D872" t="s">
        <v>15</v>
      </c>
      <c r="F872" t="s">
        <v>54</v>
      </c>
      <c r="G872">
        <v>4</v>
      </c>
      <c r="H872">
        <v>240</v>
      </c>
      <c r="I872">
        <f t="shared" si="408"/>
        <v>960</v>
      </c>
      <c r="J872" t="s">
        <v>163</v>
      </c>
      <c r="K872">
        <v>213</v>
      </c>
      <c r="M872">
        <f t="shared" si="449"/>
        <v>852</v>
      </c>
      <c r="N872">
        <f t="shared" si="450"/>
        <v>108</v>
      </c>
    </row>
    <row r="873" spans="1:14" ht="15" customHeight="1" x14ac:dyDescent="0.25">
      <c r="A873">
        <v>424</v>
      </c>
      <c r="B873" s="1">
        <v>43885</v>
      </c>
      <c r="C873" t="s">
        <v>161</v>
      </c>
      <c r="D873" t="s">
        <v>44</v>
      </c>
      <c r="F873" t="s">
        <v>138</v>
      </c>
      <c r="G873">
        <v>1</v>
      </c>
      <c r="H873">
        <v>35</v>
      </c>
      <c r="I873">
        <f t="shared" si="408"/>
        <v>35</v>
      </c>
      <c r="J873" t="s">
        <v>198</v>
      </c>
      <c r="K873">
        <v>26</v>
      </c>
      <c r="M873">
        <f t="shared" si="449"/>
        <v>26</v>
      </c>
      <c r="N873">
        <f>+I873-M873</f>
        <v>9</v>
      </c>
    </row>
    <row r="874" spans="1:14" ht="15" customHeight="1" x14ac:dyDescent="0.25">
      <c r="A874">
        <v>425</v>
      </c>
      <c r="B874" s="1">
        <v>43885</v>
      </c>
      <c r="C874" t="s">
        <v>161</v>
      </c>
      <c r="D874" t="s">
        <v>25</v>
      </c>
      <c r="F874" t="s">
        <v>127</v>
      </c>
      <c r="G874">
        <v>1</v>
      </c>
      <c r="H874">
        <v>60</v>
      </c>
      <c r="I874">
        <f t="shared" si="408"/>
        <v>60</v>
      </c>
      <c r="J874" t="s">
        <v>165</v>
      </c>
      <c r="K874">
        <f>380/12</f>
        <v>31.666666666666668</v>
      </c>
      <c r="M874">
        <f t="shared" ref="M874" si="451">+K874*G874</f>
        <v>31.666666666666668</v>
      </c>
      <c r="N874">
        <f t="shared" ref="N874" si="452">+I874-M874</f>
        <v>28.333333333333332</v>
      </c>
    </row>
    <row r="875" spans="1:14" ht="15" customHeight="1" x14ac:dyDescent="0.25">
      <c r="A875">
        <v>426</v>
      </c>
      <c r="B875" s="1">
        <v>43885</v>
      </c>
      <c r="C875" t="s">
        <v>161</v>
      </c>
      <c r="D875" t="s">
        <v>78</v>
      </c>
      <c r="F875" t="s">
        <v>124</v>
      </c>
      <c r="G875">
        <v>1</v>
      </c>
      <c r="H875">
        <v>90</v>
      </c>
      <c r="I875">
        <f t="shared" si="408"/>
        <v>90</v>
      </c>
      <c r="J875" t="s">
        <v>166</v>
      </c>
    </row>
    <row r="876" spans="1:14" ht="15" customHeight="1" x14ac:dyDescent="0.25">
      <c r="A876">
        <v>427</v>
      </c>
      <c r="B876" s="1">
        <v>43885</v>
      </c>
      <c r="C876" t="s">
        <v>161</v>
      </c>
      <c r="D876" t="s">
        <v>78</v>
      </c>
      <c r="F876" t="s">
        <v>245</v>
      </c>
      <c r="G876">
        <v>1</v>
      </c>
      <c r="H876">
        <v>60</v>
      </c>
      <c r="I876">
        <f t="shared" si="408"/>
        <v>60</v>
      </c>
      <c r="J876" t="s">
        <v>166</v>
      </c>
    </row>
    <row r="877" spans="1:14" ht="15" customHeight="1" x14ac:dyDescent="0.25">
      <c r="A877">
        <v>428</v>
      </c>
      <c r="B877" s="1">
        <v>43885</v>
      </c>
      <c r="C877" t="s">
        <v>161</v>
      </c>
      <c r="D877" t="s">
        <v>15</v>
      </c>
      <c r="F877" t="s">
        <v>20</v>
      </c>
      <c r="G877">
        <v>2.3260000000000001</v>
      </c>
      <c r="H877">
        <v>240</v>
      </c>
      <c r="I877">
        <f t="shared" si="408"/>
        <v>558.24</v>
      </c>
      <c r="J877" t="s">
        <v>163</v>
      </c>
      <c r="K877">
        <v>216</v>
      </c>
      <c r="M877">
        <f t="shared" ref="M877:M879" si="453">+K877*G877</f>
        <v>502.416</v>
      </c>
      <c r="N877">
        <f t="shared" ref="N877:N879" si="454">+I877-M877</f>
        <v>55.824000000000012</v>
      </c>
    </row>
    <row r="878" spans="1:14" ht="15" customHeight="1" x14ac:dyDescent="0.25">
      <c r="A878">
        <v>429</v>
      </c>
      <c r="B878" s="1">
        <v>43885</v>
      </c>
      <c r="C878" t="s">
        <v>161</v>
      </c>
      <c r="D878" t="s">
        <v>23</v>
      </c>
      <c r="F878" t="s">
        <v>43</v>
      </c>
      <c r="G878">
        <v>1</v>
      </c>
      <c r="H878">
        <v>60</v>
      </c>
      <c r="I878">
        <f t="shared" ref="I878:I941" si="455">+G878*H878</f>
        <v>60</v>
      </c>
      <c r="J878" t="s">
        <v>187</v>
      </c>
      <c r="K878">
        <v>42</v>
      </c>
      <c r="M878">
        <f t="shared" si="453"/>
        <v>42</v>
      </c>
      <c r="N878">
        <f t="shared" si="454"/>
        <v>18</v>
      </c>
    </row>
    <row r="879" spans="1:14" ht="15" customHeight="1" x14ac:dyDescent="0.25">
      <c r="A879">
        <v>430</v>
      </c>
      <c r="B879" s="1">
        <v>43885</v>
      </c>
      <c r="C879" t="s">
        <v>161</v>
      </c>
      <c r="D879" t="s">
        <v>23</v>
      </c>
      <c r="F879" t="s">
        <v>66</v>
      </c>
      <c r="G879">
        <v>1</v>
      </c>
      <c r="H879">
        <v>120</v>
      </c>
      <c r="I879">
        <f t="shared" si="455"/>
        <v>120</v>
      </c>
      <c r="J879" t="s">
        <v>187</v>
      </c>
      <c r="K879">
        <v>88</v>
      </c>
      <c r="M879">
        <f t="shared" si="453"/>
        <v>88</v>
      </c>
      <c r="N879">
        <f t="shared" si="454"/>
        <v>32</v>
      </c>
    </row>
    <row r="880" spans="1:14" ht="15" customHeight="1" x14ac:dyDescent="0.25">
      <c r="A880">
        <v>431</v>
      </c>
      <c r="B880" s="1">
        <v>43885</v>
      </c>
      <c r="C880" t="s">
        <v>161</v>
      </c>
      <c r="D880" t="s">
        <v>78</v>
      </c>
      <c r="F880" t="s">
        <v>79</v>
      </c>
      <c r="G880">
        <v>1</v>
      </c>
      <c r="H880">
        <v>1550</v>
      </c>
      <c r="I880">
        <f t="shared" si="455"/>
        <v>1550</v>
      </c>
      <c r="J880" t="s">
        <v>167</v>
      </c>
      <c r="K880">
        <v>1330</v>
      </c>
      <c r="M880">
        <f t="shared" ref="M880" si="456">+K880*G880</f>
        <v>1330</v>
      </c>
      <c r="N880">
        <f t="shared" ref="N880" si="457">+I880-M880</f>
        <v>220</v>
      </c>
    </row>
    <row r="881" spans="1:14" ht="15" customHeight="1" x14ac:dyDescent="0.25">
      <c r="A881">
        <v>432</v>
      </c>
      <c r="B881" s="1">
        <v>43885</v>
      </c>
      <c r="C881" t="s">
        <v>161</v>
      </c>
      <c r="D881" t="s">
        <v>55</v>
      </c>
      <c r="F881" t="s">
        <v>155</v>
      </c>
      <c r="G881">
        <v>1</v>
      </c>
      <c r="H881">
        <v>300</v>
      </c>
      <c r="I881">
        <f t="shared" si="455"/>
        <v>300</v>
      </c>
      <c r="J881" t="s">
        <v>13</v>
      </c>
      <c r="K881">
        <v>280</v>
      </c>
      <c r="M881">
        <f t="shared" ref="M881:M887" si="458">+K881*G881</f>
        <v>280</v>
      </c>
      <c r="N881">
        <f t="shared" ref="N881:N887" si="459">+I881-M881</f>
        <v>20</v>
      </c>
    </row>
    <row r="882" spans="1:14" ht="15" customHeight="1" x14ac:dyDescent="0.25">
      <c r="A882">
        <v>433</v>
      </c>
      <c r="B882" s="1">
        <v>43885</v>
      </c>
      <c r="C882" t="s">
        <v>161</v>
      </c>
      <c r="D882" t="s">
        <v>15</v>
      </c>
      <c r="F882" t="s">
        <v>35</v>
      </c>
      <c r="G882">
        <v>2</v>
      </c>
      <c r="H882">
        <v>230</v>
      </c>
      <c r="I882">
        <f t="shared" si="455"/>
        <v>460</v>
      </c>
      <c r="J882" t="s">
        <v>163</v>
      </c>
      <c r="K882">
        <v>196</v>
      </c>
      <c r="M882">
        <f t="shared" si="458"/>
        <v>392</v>
      </c>
      <c r="N882">
        <f t="shared" si="459"/>
        <v>68</v>
      </c>
    </row>
    <row r="883" spans="1:14" ht="15" customHeight="1" x14ac:dyDescent="0.25">
      <c r="A883">
        <v>434</v>
      </c>
      <c r="B883" s="1">
        <v>43885</v>
      </c>
      <c r="C883" t="s">
        <v>161</v>
      </c>
      <c r="D883" t="s">
        <v>15</v>
      </c>
      <c r="F883" t="s">
        <v>54</v>
      </c>
      <c r="G883">
        <v>2.31</v>
      </c>
      <c r="H883">
        <v>240</v>
      </c>
      <c r="I883">
        <f t="shared" si="455"/>
        <v>554.4</v>
      </c>
      <c r="J883" t="s">
        <v>163</v>
      </c>
      <c r="K883">
        <v>213</v>
      </c>
      <c r="M883">
        <f t="shared" si="458"/>
        <v>492.03000000000003</v>
      </c>
      <c r="N883">
        <f t="shared" si="459"/>
        <v>62.369999999999948</v>
      </c>
    </row>
    <row r="884" spans="1:14" ht="15" customHeight="1" x14ac:dyDescent="0.25">
      <c r="A884">
        <v>435</v>
      </c>
      <c r="B884" s="1">
        <v>43885</v>
      </c>
      <c r="C884" t="s">
        <v>161</v>
      </c>
      <c r="D884" t="s">
        <v>75</v>
      </c>
      <c r="F884" t="s">
        <v>262</v>
      </c>
      <c r="G884">
        <v>12</v>
      </c>
      <c r="H884">
        <v>40</v>
      </c>
      <c r="I884">
        <f t="shared" si="455"/>
        <v>480</v>
      </c>
      <c r="J884" t="s">
        <v>163</v>
      </c>
      <c r="K884">
        <v>26</v>
      </c>
      <c r="M884">
        <f t="shared" si="458"/>
        <v>312</v>
      </c>
      <c r="N884">
        <f t="shared" si="459"/>
        <v>168</v>
      </c>
    </row>
    <row r="885" spans="1:14" ht="15" customHeight="1" x14ac:dyDescent="0.25">
      <c r="A885">
        <v>436</v>
      </c>
      <c r="B885" s="1">
        <v>43886</v>
      </c>
      <c r="C885" t="s">
        <v>161</v>
      </c>
      <c r="D885" t="s">
        <v>75</v>
      </c>
      <c r="F885" t="s">
        <v>262</v>
      </c>
      <c r="G885">
        <v>24</v>
      </c>
      <c r="H885">
        <v>40</v>
      </c>
      <c r="I885">
        <f t="shared" si="455"/>
        <v>960</v>
      </c>
      <c r="J885" t="s">
        <v>163</v>
      </c>
      <c r="K885">
        <v>26</v>
      </c>
      <c r="M885">
        <f t="shared" si="458"/>
        <v>624</v>
      </c>
      <c r="N885">
        <f t="shared" si="459"/>
        <v>336</v>
      </c>
    </row>
    <row r="886" spans="1:14" ht="15" customHeight="1" x14ac:dyDescent="0.25">
      <c r="A886">
        <v>437</v>
      </c>
      <c r="B886" s="1">
        <v>43886</v>
      </c>
      <c r="C886" t="s">
        <v>161</v>
      </c>
      <c r="D886" t="s">
        <v>15</v>
      </c>
      <c r="F886" t="s">
        <v>252</v>
      </c>
      <c r="G886">
        <v>1</v>
      </c>
      <c r="H886">
        <v>280</v>
      </c>
      <c r="I886">
        <f t="shared" si="455"/>
        <v>280</v>
      </c>
      <c r="J886" t="s">
        <v>163</v>
      </c>
      <c r="K886">
        <v>215</v>
      </c>
      <c r="M886">
        <f t="shared" si="458"/>
        <v>215</v>
      </c>
      <c r="N886">
        <f t="shared" si="459"/>
        <v>65</v>
      </c>
    </row>
    <row r="887" spans="1:14" ht="15" customHeight="1" x14ac:dyDescent="0.25">
      <c r="A887">
        <v>438</v>
      </c>
      <c r="B887" s="1">
        <v>43886</v>
      </c>
      <c r="C887" t="s">
        <v>161</v>
      </c>
      <c r="D887" t="s">
        <v>15</v>
      </c>
      <c r="F887" t="s">
        <v>234</v>
      </c>
      <c r="G887">
        <v>1</v>
      </c>
      <c r="H887">
        <v>240</v>
      </c>
      <c r="I887">
        <f t="shared" si="455"/>
        <v>240</v>
      </c>
      <c r="J887" t="s">
        <v>163</v>
      </c>
      <c r="K887">
        <v>216</v>
      </c>
      <c r="M887">
        <f t="shared" si="458"/>
        <v>216</v>
      </c>
      <c r="N887">
        <f t="shared" si="459"/>
        <v>24</v>
      </c>
    </row>
    <row r="888" spans="1:14" ht="15" customHeight="1" x14ac:dyDescent="0.25">
      <c r="A888">
        <v>439</v>
      </c>
      <c r="B888" s="1">
        <v>43886</v>
      </c>
      <c r="C888" t="s">
        <v>161</v>
      </c>
      <c r="D888" t="s">
        <v>25</v>
      </c>
      <c r="F888" t="s">
        <v>127</v>
      </c>
      <c r="G888">
        <v>1</v>
      </c>
      <c r="H888">
        <v>60</v>
      </c>
      <c r="I888">
        <f t="shared" si="455"/>
        <v>60</v>
      </c>
      <c r="J888" t="s">
        <v>165</v>
      </c>
      <c r="K888">
        <f>380/12</f>
        <v>31.666666666666668</v>
      </c>
      <c r="M888">
        <f t="shared" ref="M888:M891" si="460">+K888*G888</f>
        <v>31.666666666666668</v>
      </c>
      <c r="N888">
        <f t="shared" ref="N888:N891" si="461">+I888-M888</f>
        <v>28.333333333333332</v>
      </c>
    </row>
    <row r="889" spans="1:14" ht="15" customHeight="1" x14ac:dyDescent="0.25">
      <c r="A889">
        <v>440</v>
      </c>
      <c r="B889" s="1">
        <v>43886</v>
      </c>
      <c r="C889" t="s">
        <v>161</v>
      </c>
      <c r="D889" t="s">
        <v>15</v>
      </c>
      <c r="F889" t="s">
        <v>29</v>
      </c>
      <c r="G889">
        <v>50</v>
      </c>
      <c r="H889">
        <v>230</v>
      </c>
      <c r="I889">
        <f t="shared" si="455"/>
        <v>11500</v>
      </c>
      <c r="J889" t="s">
        <v>163</v>
      </c>
      <c r="K889">
        <v>196</v>
      </c>
      <c r="M889">
        <f t="shared" si="460"/>
        <v>9800</v>
      </c>
      <c r="N889">
        <f t="shared" si="461"/>
        <v>1700</v>
      </c>
    </row>
    <row r="890" spans="1:14" ht="15" customHeight="1" x14ac:dyDescent="0.25">
      <c r="A890">
        <v>441</v>
      </c>
      <c r="B890" s="1">
        <v>43886</v>
      </c>
      <c r="C890" t="s">
        <v>161</v>
      </c>
      <c r="D890" t="s">
        <v>56</v>
      </c>
      <c r="F890" t="s">
        <v>267</v>
      </c>
      <c r="G890">
        <v>25</v>
      </c>
      <c r="H890">
        <v>170</v>
      </c>
      <c r="I890">
        <f t="shared" si="455"/>
        <v>4250</v>
      </c>
      <c r="J890" t="s">
        <v>163</v>
      </c>
      <c r="K890">
        <v>118</v>
      </c>
      <c r="M890">
        <f t="shared" si="460"/>
        <v>2950</v>
      </c>
      <c r="N890">
        <f t="shared" si="461"/>
        <v>1300</v>
      </c>
    </row>
    <row r="891" spans="1:14" ht="15" customHeight="1" x14ac:dyDescent="0.25">
      <c r="A891">
        <v>442</v>
      </c>
      <c r="B891" s="1">
        <v>43886</v>
      </c>
      <c r="C891" t="s">
        <v>161</v>
      </c>
      <c r="D891" t="s">
        <v>44</v>
      </c>
      <c r="F891" t="s">
        <v>77</v>
      </c>
      <c r="G891">
        <v>2</v>
      </c>
      <c r="H891">
        <v>35</v>
      </c>
      <c r="I891">
        <f t="shared" si="455"/>
        <v>70</v>
      </c>
      <c r="J891" t="s">
        <v>166</v>
      </c>
      <c r="K891">
        <v>26</v>
      </c>
      <c r="M891">
        <f t="shared" si="460"/>
        <v>52</v>
      </c>
      <c r="N891">
        <f t="shared" si="461"/>
        <v>18</v>
      </c>
    </row>
    <row r="892" spans="1:14" ht="15" customHeight="1" x14ac:dyDescent="0.25">
      <c r="A892">
        <v>443</v>
      </c>
      <c r="B892" s="1">
        <v>43886</v>
      </c>
      <c r="C892" t="s">
        <v>161</v>
      </c>
      <c r="D892" t="s">
        <v>24</v>
      </c>
      <c r="F892" t="s">
        <v>24</v>
      </c>
      <c r="G892">
        <v>3.2</v>
      </c>
      <c r="H892">
        <v>100</v>
      </c>
      <c r="I892">
        <f t="shared" si="455"/>
        <v>320</v>
      </c>
      <c r="J892" t="s">
        <v>186</v>
      </c>
      <c r="K892">
        <v>68.22</v>
      </c>
      <c r="M892">
        <f t="shared" ref="M892:M898" si="462">+K892*G892</f>
        <v>218.304</v>
      </c>
      <c r="N892">
        <f t="shared" ref="N892:N898" si="463">+I892-M892</f>
        <v>101.696</v>
      </c>
    </row>
    <row r="893" spans="1:14" ht="15" customHeight="1" x14ac:dyDescent="0.25">
      <c r="A893">
        <v>444</v>
      </c>
      <c r="B893" s="1">
        <v>43886</v>
      </c>
      <c r="C893" t="s">
        <v>161</v>
      </c>
      <c r="D893" t="s">
        <v>25</v>
      </c>
      <c r="F893" t="s">
        <v>127</v>
      </c>
      <c r="G893">
        <v>2</v>
      </c>
      <c r="H893">
        <v>60</v>
      </c>
      <c r="I893">
        <f t="shared" si="455"/>
        <v>120</v>
      </c>
      <c r="J893" t="s">
        <v>165</v>
      </c>
      <c r="K893">
        <f>380/12</f>
        <v>31.666666666666668</v>
      </c>
      <c r="M893">
        <f t="shared" si="462"/>
        <v>63.333333333333336</v>
      </c>
      <c r="N893">
        <f t="shared" si="463"/>
        <v>56.666666666666664</v>
      </c>
    </row>
    <row r="894" spans="1:14" ht="15" customHeight="1" x14ac:dyDescent="0.25">
      <c r="A894">
        <v>445</v>
      </c>
      <c r="B894" s="1">
        <v>43886</v>
      </c>
      <c r="C894" t="s">
        <v>161</v>
      </c>
      <c r="D894" t="s">
        <v>15</v>
      </c>
      <c r="F894" t="s">
        <v>52</v>
      </c>
      <c r="G894">
        <v>1</v>
      </c>
      <c r="H894">
        <v>240</v>
      </c>
      <c r="I894">
        <f t="shared" si="455"/>
        <v>240</v>
      </c>
      <c r="J894" t="s">
        <v>163</v>
      </c>
      <c r="K894">
        <v>201</v>
      </c>
      <c r="M894">
        <f t="shared" si="462"/>
        <v>201</v>
      </c>
      <c r="N894">
        <f t="shared" si="463"/>
        <v>39</v>
      </c>
    </row>
    <row r="895" spans="1:14" ht="15" customHeight="1" x14ac:dyDescent="0.25">
      <c r="A895">
        <v>446</v>
      </c>
      <c r="B895" s="1">
        <v>43886</v>
      </c>
      <c r="C895" t="s">
        <v>161</v>
      </c>
      <c r="D895" t="s">
        <v>15</v>
      </c>
      <c r="F895" t="s">
        <v>54</v>
      </c>
      <c r="G895">
        <v>24</v>
      </c>
      <c r="H895">
        <v>240</v>
      </c>
      <c r="I895">
        <f t="shared" si="455"/>
        <v>5760</v>
      </c>
      <c r="J895" t="s">
        <v>163</v>
      </c>
      <c r="K895">
        <v>213</v>
      </c>
      <c r="M895">
        <f t="shared" si="462"/>
        <v>5112</v>
      </c>
      <c r="N895">
        <f t="shared" si="463"/>
        <v>648</v>
      </c>
    </row>
    <row r="896" spans="1:14" ht="15" customHeight="1" x14ac:dyDescent="0.25">
      <c r="A896">
        <v>447</v>
      </c>
      <c r="B896" s="1">
        <v>43886</v>
      </c>
      <c r="C896" t="s">
        <v>161</v>
      </c>
      <c r="D896" t="s">
        <v>15</v>
      </c>
      <c r="F896" t="s">
        <v>219</v>
      </c>
      <c r="G896">
        <v>3</v>
      </c>
      <c r="H896">
        <v>230</v>
      </c>
      <c r="I896">
        <f t="shared" si="455"/>
        <v>690</v>
      </c>
      <c r="J896" t="s">
        <v>163</v>
      </c>
      <c r="K896">
        <v>196</v>
      </c>
      <c r="M896">
        <f t="shared" si="462"/>
        <v>588</v>
      </c>
      <c r="N896">
        <f t="shared" si="463"/>
        <v>102</v>
      </c>
    </row>
    <row r="897" spans="1:14" ht="15" customHeight="1" x14ac:dyDescent="0.25">
      <c r="A897">
        <v>448</v>
      </c>
      <c r="B897" s="1">
        <v>43886</v>
      </c>
      <c r="C897" t="s">
        <v>161</v>
      </c>
      <c r="D897" t="s">
        <v>56</v>
      </c>
      <c r="F897" t="s">
        <v>267</v>
      </c>
      <c r="G897">
        <v>4</v>
      </c>
      <c r="H897">
        <v>170</v>
      </c>
      <c r="I897">
        <f t="shared" si="455"/>
        <v>680</v>
      </c>
      <c r="J897" t="s">
        <v>163</v>
      </c>
      <c r="K897">
        <v>118</v>
      </c>
      <c r="M897">
        <f t="shared" si="462"/>
        <v>472</v>
      </c>
      <c r="N897">
        <f t="shared" si="463"/>
        <v>208</v>
      </c>
    </row>
    <row r="898" spans="1:14" ht="15" customHeight="1" x14ac:dyDescent="0.25">
      <c r="A898">
        <v>449</v>
      </c>
      <c r="B898" s="1">
        <v>43886</v>
      </c>
      <c r="C898" t="s">
        <v>161</v>
      </c>
      <c r="D898" t="s">
        <v>15</v>
      </c>
      <c r="F898" t="s">
        <v>34</v>
      </c>
      <c r="G898">
        <f>2/9</f>
        <v>0.22222222222222221</v>
      </c>
      <c r="H898">
        <v>230</v>
      </c>
      <c r="I898">
        <f t="shared" si="455"/>
        <v>51.111111111111107</v>
      </c>
      <c r="J898" t="s">
        <v>163</v>
      </c>
      <c r="K898">
        <v>196</v>
      </c>
      <c r="M898">
        <f t="shared" si="462"/>
        <v>43.55555555555555</v>
      </c>
      <c r="N898">
        <f t="shared" si="463"/>
        <v>7.5555555555555571</v>
      </c>
    </row>
    <row r="899" spans="1:14" ht="15" customHeight="1" x14ac:dyDescent="0.25">
      <c r="A899">
        <v>450</v>
      </c>
      <c r="B899" s="1">
        <v>43886</v>
      </c>
      <c r="C899" t="s">
        <v>161</v>
      </c>
      <c r="D899" t="s">
        <v>26</v>
      </c>
      <c r="F899" t="s">
        <v>264</v>
      </c>
      <c r="G899">
        <v>1</v>
      </c>
      <c r="H899">
        <v>300</v>
      </c>
      <c r="I899">
        <f t="shared" si="455"/>
        <v>300</v>
      </c>
      <c r="J899" t="s">
        <v>394</v>
      </c>
    </row>
    <row r="900" spans="1:14" ht="15" customHeight="1" x14ac:dyDescent="0.25">
      <c r="A900">
        <v>451</v>
      </c>
      <c r="B900" s="1">
        <v>43886</v>
      </c>
      <c r="C900" t="s">
        <v>161</v>
      </c>
      <c r="D900" t="s">
        <v>15</v>
      </c>
      <c r="F900" t="s">
        <v>19</v>
      </c>
      <c r="G900">
        <f>10/9</f>
        <v>1.1111111111111112</v>
      </c>
      <c r="H900">
        <v>300</v>
      </c>
      <c r="I900">
        <f t="shared" si="455"/>
        <v>333.33333333333337</v>
      </c>
      <c r="J900" t="s">
        <v>13</v>
      </c>
      <c r="K900">
        <v>280</v>
      </c>
      <c r="M900">
        <f t="shared" ref="M900:M901" si="464">+K900*G900</f>
        <v>311.11111111111114</v>
      </c>
      <c r="N900">
        <f t="shared" ref="N900:N901" si="465">+I900-M900</f>
        <v>22.222222222222229</v>
      </c>
    </row>
    <row r="901" spans="1:14" ht="15" customHeight="1" x14ac:dyDescent="0.25">
      <c r="A901">
        <v>452</v>
      </c>
      <c r="B901" s="1">
        <v>43886</v>
      </c>
      <c r="C901" t="s">
        <v>161</v>
      </c>
      <c r="D901" t="s">
        <v>15</v>
      </c>
      <c r="F901" t="s">
        <v>28</v>
      </c>
      <c r="G901">
        <f>7/9</f>
        <v>0.77777777777777779</v>
      </c>
      <c r="H901">
        <v>288</v>
      </c>
      <c r="I901">
        <f t="shared" si="455"/>
        <v>224</v>
      </c>
      <c r="J901" t="s">
        <v>163</v>
      </c>
      <c r="K901">
        <v>182</v>
      </c>
      <c r="M901">
        <f t="shared" si="464"/>
        <v>141.55555555555557</v>
      </c>
      <c r="N901">
        <f t="shared" si="465"/>
        <v>82.444444444444429</v>
      </c>
    </row>
    <row r="902" spans="1:14" ht="15" customHeight="1" x14ac:dyDescent="0.25">
      <c r="A902">
        <v>453</v>
      </c>
      <c r="B902" s="1">
        <v>43886</v>
      </c>
      <c r="C902" t="s">
        <v>161</v>
      </c>
      <c r="D902" t="s">
        <v>25</v>
      </c>
      <c r="F902" t="s">
        <v>225</v>
      </c>
      <c r="G902">
        <v>1</v>
      </c>
      <c r="H902">
        <v>60</v>
      </c>
      <c r="I902">
        <f t="shared" si="455"/>
        <v>60</v>
      </c>
      <c r="J902" t="s">
        <v>165</v>
      </c>
      <c r="K902">
        <f t="shared" ref="K902:K904" si="466">380/12</f>
        <v>31.666666666666668</v>
      </c>
      <c r="M902">
        <f t="shared" ref="M902:M907" si="467">+K902*G902</f>
        <v>31.666666666666668</v>
      </c>
      <c r="N902">
        <f t="shared" ref="N902:N906" si="468">+I902-M902</f>
        <v>28.333333333333332</v>
      </c>
    </row>
    <row r="903" spans="1:14" ht="15" customHeight="1" x14ac:dyDescent="0.25">
      <c r="A903">
        <v>454</v>
      </c>
      <c r="B903" s="1">
        <v>43886</v>
      </c>
      <c r="C903" t="s">
        <v>161</v>
      </c>
      <c r="D903" t="s">
        <v>56</v>
      </c>
      <c r="F903" t="s">
        <v>263</v>
      </c>
      <c r="G903">
        <v>1</v>
      </c>
      <c r="H903">
        <v>120</v>
      </c>
      <c r="I903">
        <f t="shared" si="455"/>
        <v>120</v>
      </c>
      <c r="J903" t="s">
        <v>165</v>
      </c>
      <c r="K903">
        <v>80</v>
      </c>
      <c r="M903">
        <f t="shared" si="467"/>
        <v>80</v>
      </c>
      <c r="N903">
        <f t="shared" si="468"/>
        <v>40</v>
      </c>
    </row>
    <row r="904" spans="1:14" ht="15" customHeight="1" x14ac:dyDescent="0.25">
      <c r="A904">
        <v>455</v>
      </c>
      <c r="B904" s="1">
        <v>43887</v>
      </c>
      <c r="C904" t="s">
        <v>161</v>
      </c>
      <c r="D904" t="s">
        <v>25</v>
      </c>
      <c r="F904" t="s">
        <v>225</v>
      </c>
      <c r="G904">
        <v>3</v>
      </c>
      <c r="H904">
        <v>60</v>
      </c>
      <c r="I904">
        <f t="shared" si="455"/>
        <v>180</v>
      </c>
      <c r="J904" t="s">
        <v>165</v>
      </c>
      <c r="K904">
        <f t="shared" si="466"/>
        <v>31.666666666666668</v>
      </c>
      <c r="M904">
        <f t="shared" si="467"/>
        <v>95</v>
      </c>
      <c r="N904">
        <f t="shared" si="468"/>
        <v>85</v>
      </c>
    </row>
    <row r="905" spans="1:14" ht="15" customHeight="1" x14ac:dyDescent="0.25">
      <c r="A905">
        <v>456</v>
      </c>
      <c r="B905" s="1">
        <v>43887</v>
      </c>
      <c r="C905" t="s">
        <v>161</v>
      </c>
      <c r="D905" t="s">
        <v>55</v>
      </c>
      <c r="F905" t="s">
        <v>22</v>
      </c>
      <c r="G905">
        <v>3.5</v>
      </c>
      <c r="H905">
        <v>300</v>
      </c>
      <c r="I905">
        <f t="shared" si="455"/>
        <v>1050</v>
      </c>
      <c r="J905" t="s">
        <v>13</v>
      </c>
      <c r="K905">
        <v>280</v>
      </c>
      <c r="M905">
        <f t="shared" si="467"/>
        <v>980</v>
      </c>
      <c r="N905">
        <f t="shared" si="468"/>
        <v>70</v>
      </c>
    </row>
    <row r="906" spans="1:14" ht="15" customHeight="1" x14ac:dyDescent="0.25">
      <c r="A906">
        <v>457</v>
      </c>
      <c r="B906" s="1">
        <v>43887</v>
      </c>
      <c r="C906" t="s">
        <v>161</v>
      </c>
      <c r="D906" t="s">
        <v>15</v>
      </c>
      <c r="F906" t="s">
        <v>31</v>
      </c>
      <c r="G906">
        <v>4</v>
      </c>
      <c r="H906">
        <v>280</v>
      </c>
      <c r="I906">
        <f t="shared" si="455"/>
        <v>1120</v>
      </c>
      <c r="J906" t="s">
        <v>163</v>
      </c>
      <c r="K906">
        <v>215</v>
      </c>
      <c r="M906">
        <f t="shared" si="467"/>
        <v>860</v>
      </c>
      <c r="N906">
        <f t="shared" si="468"/>
        <v>260</v>
      </c>
    </row>
    <row r="907" spans="1:14" ht="15" customHeight="1" x14ac:dyDescent="0.25">
      <c r="A907">
        <v>458</v>
      </c>
      <c r="B907" s="1">
        <v>43887</v>
      </c>
      <c r="C907" t="s">
        <v>161</v>
      </c>
      <c r="D907" t="s">
        <v>44</v>
      </c>
      <c r="F907" t="s">
        <v>138</v>
      </c>
      <c r="G907">
        <v>1</v>
      </c>
      <c r="H907">
        <v>35</v>
      </c>
      <c r="I907">
        <f t="shared" si="455"/>
        <v>35</v>
      </c>
      <c r="J907" t="s">
        <v>198</v>
      </c>
      <c r="K907">
        <v>26</v>
      </c>
      <c r="M907">
        <f t="shared" si="467"/>
        <v>26</v>
      </c>
      <c r="N907">
        <f>+I907-M907</f>
        <v>9</v>
      </c>
    </row>
    <row r="908" spans="1:14" ht="15" customHeight="1" x14ac:dyDescent="0.25">
      <c r="A908">
        <v>459</v>
      </c>
      <c r="B908" s="1">
        <v>43887</v>
      </c>
      <c r="C908" t="s">
        <v>161</v>
      </c>
      <c r="D908" t="s">
        <v>25</v>
      </c>
      <c r="F908" t="s">
        <v>58</v>
      </c>
      <c r="G908">
        <v>1</v>
      </c>
      <c r="H908">
        <v>60</v>
      </c>
      <c r="I908">
        <f t="shared" si="455"/>
        <v>60</v>
      </c>
      <c r="J908" t="s">
        <v>165</v>
      </c>
      <c r="K908">
        <f>380/12</f>
        <v>31.666666666666668</v>
      </c>
      <c r="M908">
        <f t="shared" ref="M908:M911" si="469">+K908*G908</f>
        <v>31.666666666666668</v>
      </c>
      <c r="N908">
        <f t="shared" ref="N908:N911" si="470">+I908-M908</f>
        <v>28.333333333333332</v>
      </c>
    </row>
    <row r="909" spans="1:14" ht="15" customHeight="1" x14ac:dyDescent="0.25">
      <c r="A909">
        <v>460</v>
      </c>
      <c r="B909" s="1">
        <v>43887</v>
      </c>
      <c r="C909" t="s">
        <v>161</v>
      </c>
      <c r="D909" t="s">
        <v>15</v>
      </c>
      <c r="F909" t="s">
        <v>34</v>
      </c>
      <c r="G909">
        <v>1</v>
      </c>
      <c r="H909">
        <v>230</v>
      </c>
      <c r="I909">
        <f t="shared" si="455"/>
        <v>230</v>
      </c>
      <c r="J909" t="s">
        <v>163</v>
      </c>
      <c r="K909">
        <v>196</v>
      </c>
      <c r="M909">
        <f t="shared" si="469"/>
        <v>196</v>
      </c>
      <c r="N909">
        <f t="shared" si="470"/>
        <v>34</v>
      </c>
    </row>
    <row r="910" spans="1:14" ht="15" customHeight="1" x14ac:dyDescent="0.25">
      <c r="A910">
        <v>461</v>
      </c>
      <c r="B910" s="1">
        <v>43887</v>
      </c>
      <c r="C910" t="s">
        <v>161</v>
      </c>
      <c r="D910" t="s">
        <v>15</v>
      </c>
      <c r="F910" t="s">
        <v>29</v>
      </c>
      <c r="G910">
        <v>3</v>
      </c>
      <c r="H910">
        <v>230</v>
      </c>
      <c r="I910">
        <f t="shared" si="455"/>
        <v>690</v>
      </c>
      <c r="J910" t="s">
        <v>163</v>
      </c>
      <c r="K910">
        <v>196</v>
      </c>
      <c r="M910">
        <f t="shared" si="469"/>
        <v>588</v>
      </c>
      <c r="N910">
        <f t="shared" si="470"/>
        <v>102</v>
      </c>
    </row>
    <row r="911" spans="1:14" ht="15" customHeight="1" x14ac:dyDescent="0.25">
      <c r="A911">
        <v>462</v>
      </c>
      <c r="B911" s="1">
        <v>43887</v>
      </c>
      <c r="C911" t="s">
        <v>161</v>
      </c>
      <c r="D911" t="s">
        <v>70</v>
      </c>
      <c r="F911" t="s">
        <v>227</v>
      </c>
      <c r="G911">
        <v>1</v>
      </c>
      <c r="H911">
        <v>1650</v>
      </c>
      <c r="I911">
        <f t="shared" si="455"/>
        <v>1650</v>
      </c>
      <c r="J911" t="s">
        <v>167</v>
      </c>
      <c r="K911">
        <v>1440</v>
      </c>
      <c r="M911">
        <f t="shared" si="469"/>
        <v>1440</v>
      </c>
      <c r="N911">
        <f t="shared" si="470"/>
        <v>210</v>
      </c>
    </row>
    <row r="912" spans="1:14" ht="15" customHeight="1" x14ac:dyDescent="0.25">
      <c r="A912">
        <v>463</v>
      </c>
      <c r="B912" s="1">
        <v>43887</v>
      </c>
      <c r="C912" t="s">
        <v>161</v>
      </c>
      <c r="D912" t="s">
        <v>25</v>
      </c>
      <c r="F912" t="s">
        <v>130</v>
      </c>
      <c r="G912">
        <v>2</v>
      </c>
      <c r="H912">
        <v>60</v>
      </c>
      <c r="I912">
        <f t="shared" si="455"/>
        <v>120</v>
      </c>
      <c r="J912" t="s">
        <v>165</v>
      </c>
      <c r="K912">
        <f>380/12</f>
        <v>31.666666666666668</v>
      </c>
      <c r="M912">
        <f t="shared" ref="M912:M918" si="471">+K912*G912</f>
        <v>63.333333333333336</v>
      </c>
      <c r="N912">
        <f t="shared" ref="N912:N918" si="472">+I912-M912</f>
        <v>56.666666666666664</v>
      </c>
    </row>
    <row r="913" spans="1:14" ht="15" customHeight="1" x14ac:dyDescent="0.25">
      <c r="A913">
        <v>464</v>
      </c>
      <c r="B913" s="1">
        <v>43887</v>
      </c>
      <c r="C913" t="s">
        <v>161</v>
      </c>
      <c r="D913" t="s">
        <v>15</v>
      </c>
      <c r="F913" t="s">
        <v>31</v>
      </c>
      <c r="G913">
        <v>2</v>
      </c>
      <c r="H913">
        <v>280</v>
      </c>
      <c r="I913">
        <f t="shared" si="455"/>
        <v>560</v>
      </c>
      <c r="J913" t="s">
        <v>163</v>
      </c>
      <c r="K913">
        <v>215</v>
      </c>
      <c r="M913">
        <f t="shared" si="471"/>
        <v>430</v>
      </c>
      <c r="N913">
        <f t="shared" si="472"/>
        <v>130</v>
      </c>
    </row>
    <row r="914" spans="1:14" ht="15" customHeight="1" x14ac:dyDescent="0.25">
      <c r="A914">
        <v>465</v>
      </c>
      <c r="B914" s="1">
        <v>43887</v>
      </c>
      <c r="C914" t="s">
        <v>161</v>
      </c>
      <c r="D914" t="s">
        <v>15</v>
      </c>
      <c r="F914" t="s">
        <v>20</v>
      </c>
      <c r="G914">
        <v>127.83</v>
      </c>
      <c r="H914">
        <v>235</v>
      </c>
      <c r="I914">
        <f t="shared" si="455"/>
        <v>30040.05</v>
      </c>
      <c r="J914" t="s">
        <v>163</v>
      </c>
      <c r="K914">
        <v>216</v>
      </c>
      <c r="M914">
        <f t="shared" si="471"/>
        <v>27611.279999999999</v>
      </c>
      <c r="N914">
        <f t="shared" si="472"/>
        <v>2428.7700000000004</v>
      </c>
    </row>
    <row r="915" spans="1:14" ht="15" customHeight="1" x14ac:dyDescent="0.25">
      <c r="A915">
        <v>466</v>
      </c>
      <c r="B915" s="1">
        <v>43887</v>
      </c>
      <c r="C915" t="s">
        <v>161</v>
      </c>
      <c r="D915" t="s">
        <v>15</v>
      </c>
      <c r="F915" t="s">
        <v>219</v>
      </c>
      <c r="G915">
        <v>9</v>
      </c>
      <c r="H915">
        <v>230</v>
      </c>
      <c r="I915">
        <f t="shared" si="455"/>
        <v>2070</v>
      </c>
      <c r="J915" t="s">
        <v>163</v>
      </c>
      <c r="K915">
        <v>196</v>
      </c>
      <c r="M915">
        <f t="shared" si="471"/>
        <v>1764</v>
      </c>
      <c r="N915">
        <f t="shared" si="472"/>
        <v>306</v>
      </c>
    </row>
    <row r="916" spans="1:14" ht="15" customHeight="1" x14ac:dyDescent="0.25">
      <c r="A916">
        <v>467</v>
      </c>
      <c r="B916" s="1">
        <v>43887</v>
      </c>
      <c r="C916" t="s">
        <v>161</v>
      </c>
      <c r="D916" t="s">
        <v>15</v>
      </c>
      <c r="F916" t="s">
        <v>219</v>
      </c>
      <c r="G916">
        <v>5</v>
      </c>
      <c r="H916">
        <v>230</v>
      </c>
      <c r="I916">
        <f t="shared" si="455"/>
        <v>1150</v>
      </c>
      <c r="J916" t="s">
        <v>163</v>
      </c>
      <c r="K916">
        <v>196</v>
      </c>
      <c r="M916">
        <f t="shared" si="471"/>
        <v>980</v>
      </c>
      <c r="N916">
        <f t="shared" si="472"/>
        <v>170</v>
      </c>
    </row>
    <row r="917" spans="1:14" x14ac:dyDescent="0.25">
      <c r="A917">
        <v>468</v>
      </c>
      <c r="B917" s="1">
        <v>43887</v>
      </c>
      <c r="C917" t="s">
        <v>161</v>
      </c>
      <c r="D917" t="s">
        <v>15</v>
      </c>
      <c r="F917" t="s">
        <v>76</v>
      </c>
      <c r="G917">
        <v>18</v>
      </c>
      <c r="H917">
        <v>230</v>
      </c>
      <c r="I917">
        <f t="shared" si="455"/>
        <v>4140</v>
      </c>
      <c r="J917" t="s">
        <v>163</v>
      </c>
      <c r="K917">
        <v>200</v>
      </c>
      <c r="M917">
        <f t="shared" si="471"/>
        <v>3600</v>
      </c>
      <c r="N917">
        <f t="shared" si="472"/>
        <v>540</v>
      </c>
    </row>
    <row r="918" spans="1:14" ht="15" customHeight="1" x14ac:dyDescent="0.25">
      <c r="A918">
        <v>469</v>
      </c>
      <c r="B918" s="1">
        <v>43887</v>
      </c>
      <c r="C918" t="s">
        <v>161</v>
      </c>
      <c r="D918" t="s">
        <v>56</v>
      </c>
      <c r="F918" t="s">
        <v>267</v>
      </c>
      <c r="G918">
        <v>1</v>
      </c>
      <c r="H918">
        <v>170</v>
      </c>
      <c r="I918">
        <f t="shared" si="455"/>
        <v>170</v>
      </c>
      <c r="J918" t="s">
        <v>163</v>
      </c>
      <c r="K918">
        <v>118</v>
      </c>
      <c r="M918">
        <f t="shared" si="471"/>
        <v>118</v>
      </c>
      <c r="N918">
        <f t="shared" si="472"/>
        <v>52</v>
      </c>
    </row>
    <row r="919" spans="1:14" ht="15" customHeight="1" x14ac:dyDescent="0.25">
      <c r="A919">
        <v>470</v>
      </c>
      <c r="B919" s="1">
        <v>43887</v>
      </c>
      <c r="C919" t="s">
        <v>161</v>
      </c>
      <c r="D919" t="s">
        <v>55</v>
      </c>
      <c r="F919" t="s">
        <v>108</v>
      </c>
      <c r="G919">
        <v>2</v>
      </c>
      <c r="H919">
        <v>300</v>
      </c>
      <c r="I919">
        <f t="shared" si="455"/>
        <v>600</v>
      </c>
      <c r="J919" t="s">
        <v>13</v>
      </c>
      <c r="K919">
        <v>280</v>
      </c>
      <c r="M919">
        <f t="shared" ref="M919:M921" si="473">+K919*G919</f>
        <v>560</v>
      </c>
      <c r="N919">
        <f t="shared" ref="N919:N921" si="474">+I919-M919</f>
        <v>40</v>
      </c>
    </row>
    <row r="920" spans="1:14" ht="15" customHeight="1" x14ac:dyDescent="0.25">
      <c r="A920">
        <v>471</v>
      </c>
      <c r="B920" s="1">
        <v>43887</v>
      </c>
      <c r="C920" t="s">
        <v>161</v>
      </c>
      <c r="D920" t="s">
        <v>15</v>
      </c>
      <c r="F920" t="s">
        <v>80</v>
      </c>
      <c r="G920">
        <v>17.375</v>
      </c>
      <c r="H920">
        <v>240</v>
      </c>
      <c r="I920">
        <f t="shared" si="455"/>
        <v>4170</v>
      </c>
      <c r="J920" t="s">
        <v>163</v>
      </c>
      <c r="K920">
        <v>213</v>
      </c>
      <c r="M920">
        <f t="shared" si="473"/>
        <v>3700.875</v>
      </c>
      <c r="N920">
        <f t="shared" si="474"/>
        <v>469.125</v>
      </c>
    </row>
    <row r="921" spans="1:14" ht="15" customHeight="1" x14ac:dyDescent="0.25">
      <c r="A921">
        <v>472</v>
      </c>
      <c r="B921" s="1">
        <v>43887</v>
      </c>
      <c r="C921" t="s">
        <v>161</v>
      </c>
      <c r="D921" t="s">
        <v>15</v>
      </c>
      <c r="F921" t="s">
        <v>29</v>
      </c>
      <c r="G921">
        <v>26</v>
      </c>
      <c r="H921">
        <v>230</v>
      </c>
      <c r="I921" s="8">
        <f t="shared" si="455"/>
        <v>5980</v>
      </c>
      <c r="J921" t="s">
        <v>163</v>
      </c>
      <c r="K921">
        <v>196</v>
      </c>
      <c r="M921">
        <f t="shared" si="473"/>
        <v>5096</v>
      </c>
      <c r="N921">
        <f t="shared" si="474"/>
        <v>884</v>
      </c>
    </row>
    <row r="922" spans="1:14" ht="15" customHeight="1" x14ac:dyDescent="0.25">
      <c r="A922">
        <v>473</v>
      </c>
      <c r="B922" s="1">
        <v>43887</v>
      </c>
      <c r="C922" t="s">
        <v>161</v>
      </c>
      <c r="D922" t="s">
        <v>26</v>
      </c>
      <c r="F922" t="s">
        <v>144</v>
      </c>
      <c r="G922">
        <v>4</v>
      </c>
      <c r="H922">
        <v>400</v>
      </c>
      <c r="I922">
        <f t="shared" si="455"/>
        <v>1600</v>
      </c>
      <c r="J922" t="s">
        <v>99</v>
      </c>
      <c r="K922">
        <v>353</v>
      </c>
      <c r="M922">
        <f t="shared" ref="M922:M923" si="475">+K922*G922</f>
        <v>1412</v>
      </c>
      <c r="N922">
        <f t="shared" ref="N922:N923" si="476">+I922-M922</f>
        <v>188</v>
      </c>
    </row>
    <row r="923" spans="1:14" ht="15" customHeight="1" x14ac:dyDescent="0.25">
      <c r="A923">
        <v>474</v>
      </c>
      <c r="B923" s="1">
        <v>43888</v>
      </c>
      <c r="C923" t="s">
        <v>161</v>
      </c>
      <c r="D923" t="s">
        <v>15</v>
      </c>
      <c r="F923" t="s">
        <v>19</v>
      </c>
      <c r="G923">
        <v>77</v>
      </c>
      <c r="H923">
        <v>298</v>
      </c>
      <c r="I923">
        <f t="shared" si="455"/>
        <v>22946</v>
      </c>
      <c r="J923" t="s">
        <v>13</v>
      </c>
      <c r="K923">
        <v>280</v>
      </c>
      <c r="M923">
        <f t="shared" si="475"/>
        <v>21560</v>
      </c>
      <c r="N923">
        <f t="shared" si="476"/>
        <v>1386</v>
      </c>
    </row>
    <row r="924" spans="1:14" ht="15" customHeight="1" x14ac:dyDescent="0.25">
      <c r="A924">
        <v>475</v>
      </c>
      <c r="B924" s="1">
        <v>43888</v>
      </c>
      <c r="C924" t="s">
        <v>161</v>
      </c>
      <c r="D924" t="s">
        <v>25</v>
      </c>
      <c r="F924" t="s">
        <v>142</v>
      </c>
      <c r="G924">
        <v>10</v>
      </c>
      <c r="H924">
        <v>60</v>
      </c>
      <c r="I924">
        <f t="shared" si="455"/>
        <v>600</v>
      </c>
      <c r="J924" t="s">
        <v>165</v>
      </c>
      <c r="K924">
        <f>380/12</f>
        <v>31.666666666666668</v>
      </c>
      <c r="M924">
        <f t="shared" ref="M924:M925" si="477">+K924*G924</f>
        <v>316.66666666666669</v>
      </c>
      <c r="N924">
        <f t="shared" ref="N924" si="478">+I924-M924</f>
        <v>283.33333333333331</v>
      </c>
    </row>
    <row r="925" spans="1:14" ht="15" customHeight="1" x14ac:dyDescent="0.25">
      <c r="A925">
        <v>476</v>
      </c>
      <c r="B925" s="1">
        <v>43888</v>
      </c>
      <c r="C925" t="s">
        <v>161</v>
      </c>
      <c r="D925" t="s">
        <v>44</v>
      </c>
      <c r="F925" t="s">
        <v>138</v>
      </c>
      <c r="G925">
        <v>2</v>
      </c>
      <c r="H925">
        <v>35</v>
      </c>
      <c r="I925">
        <f t="shared" si="455"/>
        <v>70</v>
      </c>
      <c r="J925" t="s">
        <v>198</v>
      </c>
      <c r="K925">
        <v>26</v>
      </c>
      <c r="M925">
        <f t="shared" si="477"/>
        <v>52</v>
      </c>
      <c r="N925">
        <f>+I925-M925</f>
        <v>18</v>
      </c>
    </row>
    <row r="926" spans="1:14" ht="15" customHeight="1" x14ac:dyDescent="0.25">
      <c r="A926">
        <v>477</v>
      </c>
      <c r="B926" s="1">
        <v>43888</v>
      </c>
      <c r="C926" t="s">
        <v>161</v>
      </c>
      <c r="D926" t="s">
        <v>56</v>
      </c>
      <c r="F926" t="s">
        <v>267</v>
      </c>
      <c r="G926">
        <v>23</v>
      </c>
      <c r="H926">
        <v>170</v>
      </c>
      <c r="I926">
        <f t="shared" si="455"/>
        <v>3910</v>
      </c>
      <c r="J926" t="s">
        <v>163</v>
      </c>
      <c r="K926">
        <v>118</v>
      </c>
      <c r="M926">
        <f t="shared" ref="M926:M927" si="479">+K926*G926</f>
        <v>2714</v>
      </c>
      <c r="N926">
        <f t="shared" ref="N926:N927" si="480">+I926-M926</f>
        <v>1196</v>
      </c>
    </row>
    <row r="927" spans="1:14" ht="15" customHeight="1" x14ac:dyDescent="0.25">
      <c r="A927">
        <v>478</v>
      </c>
      <c r="B927" s="1">
        <v>43888</v>
      </c>
      <c r="C927" t="s">
        <v>161</v>
      </c>
      <c r="D927" t="s">
        <v>15</v>
      </c>
      <c r="F927" t="s">
        <v>29</v>
      </c>
      <c r="G927">
        <v>8.5</v>
      </c>
      <c r="H927">
        <v>230</v>
      </c>
      <c r="I927">
        <f t="shared" si="455"/>
        <v>1955</v>
      </c>
      <c r="J927" t="s">
        <v>163</v>
      </c>
      <c r="K927">
        <v>196</v>
      </c>
      <c r="M927">
        <f t="shared" si="479"/>
        <v>1666</v>
      </c>
      <c r="N927">
        <f t="shared" si="480"/>
        <v>289</v>
      </c>
    </row>
    <row r="928" spans="1:14" ht="15" customHeight="1" x14ac:dyDescent="0.25">
      <c r="A928">
        <v>479</v>
      </c>
      <c r="B928" s="1">
        <v>43888</v>
      </c>
      <c r="C928" t="s">
        <v>161</v>
      </c>
      <c r="D928" t="s">
        <v>25</v>
      </c>
      <c r="F928" t="s">
        <v>127</v>
      </c>
      <c r="G928">
        <v>2</v>
      </c>
      <c r="H928">
        <v>60</v>
      </c>
      <c r="I928">
        <f t="shared" si="455"/>
        <v>120</v>
      </c>
      <c r="J928" t="s">
        <v>165</v>
      </c>
      <c r="K928">
        <f>380/12</f>
        <v>31.666666666666668</v>
      </c>
      <c r="M928">
        <f t="shared" ref="M928:M930" si="481">+K928*G928</f>
        <v>63.333333333333336</v>
      </c>
      <c r="N928">
        <f t="shared" ref="N928" si="482">+I928-M928</f>
        <v>56.666666666666664</v>
      </c>
    </row>
    <row r="929" spans="1:14" ht="15" customHeight="1" x14ac:dyDescent="0.25">
      <c r="A929">
        <v>480</v>
      </c>
      <c r="B929" s="1">
        <v>43888</v>
      </c>
      <c r="C929" t="s">
        <v>161</v>
      </c>
      <c r="D929" t="s">
        <v>44</v>
      </c>
      <c r="F929" t="s">
        <v>138</v>
      </c>
      <c r="G929">
        <v>1</v>
      </c>
      <c r="H929">
        <v>35</v>
      </c>
      <c r="I929">
        <f t="shared" si="455"/>
        <v>35</v>
      </c>
      <c r="J929" t="s">
        <v>198</v>
      </c>
      <c r="K929">
        <v>26</v>
      </c>
      <c r="M929">
        <f t="shared" si="481"/>
        <v>26</v>
      </c>
      <c r="N929">
        <f>+I929-M929</f>
        <v>9</v>
      </c>
    </row>
    <row r="930" spans="1:14" ht="15" customHeight="1" x14ac:dyDescent="0.25">
      <c r="A930">
        <v>481</v>
      </c>
      <c r="B930" s="1">
        <v>43888</v>
      </c>
      <c r="C930" t="s">
        <v>161</v>
      </c>
      <c r="D930" t="s">
        <v>23</v>
      </c>
      <c r="F930" t="s">
        <v>215</v>
      </c>
      <c r="G930">
        <v>1</v>
      </c>
      <c r="H930">
        <v>35</v>
      </c>
      <c r="I930">
        <f t="shared" si="455"/>
        <v>35</v>
      </c>
      <c r="J930" t="s">
        <v>187</v>
      </c>
      <c r="K930">
        <v>26</v>
      </c>
      <c r="M930">
        <f t="shared" si="481"/>
        <v>26</v>
      </c>
      <c r="N930">
        <f t="shared" ref="N930" si="483">+I930-M930</f>
        <v>9</v>
      </c>
    </row>
    <row r="931" spans="1:14" ht="15" customHeight="1" x14ac:dyDescent="0.25">
      <c r="A931">
        <v>482</v>
      </c>
      <c r="B931" s="1">
        <v>43888</v>
      </c>
      <c r="C931" t="s">
        <v>161</v>
      </c>
      <c r="D931" t="s">
        <v>85</v>
      </c>
      <c r="F931" t="s">
        <v>84</v>
      </c>
      <c r="G931">
        <v>2</v>
      </c>
      <c r="H931">
        <v>70</v>
      </c>
      <c r="I931">
        <f t="shared" si="455"/>
        <v>140</v>
      </c>
      <c r="J931" t="s">
        <v>166</v>
      </c>
    </row>
    <row r="932" spans="1:14" ht="15" customHeight="1" x14ac:dyDescent="0.25">
      <c r="A932">
        <v>483</v>
      </c>
      <c r="B932" s="1">
        <v>43888</v>
      </c>
      <c r="C932" t="s">
        <v>161</v>
      </c>
      <c r="D932" t="s">
        <v>25</v>
      </c>
      <c r="F932" t="s">
        <v>83</v>
      </c>
      <c r="G932">
        <v>1</v>
      </c>
      <c r="H932">
        <v>60</v>
      </c>
      <c r="I932">
        <f t="shared" si="455"/>
        <v>60</v>
      </c>
      <c r="J932" t="s">
        <v>165</v>
      </c>
      <c r="K932">
        <f>380/12</f>
        <v>31.666666666666668</v>
      </c>
      <c r="M932">
        <f t="shared" ref="M932:M934" si="484">+K932*G932</f>
        <v>31.666666666666668</v>
      </c>
      <c r="N932">
        <f t="shared" ref="N932:N934" si="485">+I932-M932</f>
        <v>28.333333333333332</v>
      </c>
    </row>
    <row r="933" spans="1:14" ht="15" customHeight="1" x14ac:dyDescent="0.25">
      <c r="A933">
        <v>484</v>
      </c>
      <c r="B933" s="1">
        <v>43888</v>
      </c>
      <c r="C933" t="s">
        <v>161</v>
      </c>
      <c r="D933" t="s">
        <v>15</v>
      </c>
      <c r="F933" t="s">
        <v>248</v>
      </c>
      <c r="G933" s="12">
        <f>1/5</f>
        <v>0.2</v>
      </c>
      <c r="H933">
        <v>360</v>
      </c>
      <c r="I933">
        <f t="shared" si="455"/>
        <v>72</v>
      </c>
      <c r="J933" t="s">
        <v>163</v>
      </c>
      <c r="K933">
        <v>272</v>
      </c>
      <c r="M933">
        <f t="shared" si="484"/>
        <v>54.400000000000006</v>
      </c>
      <c r="N933">
        <f t="shared" si="485"/>
        <v>17.599999999999994</v>
      </c>
    </row>
    <row r="934" spans="1:14" ht="15" customHeight="1" x14ac:dyDescent="0.25">
      <c r="A934">
        <v>485</v>
      </c>
      <c r="B934" s="1">
        <v>43888</v>
      </c>
      <c r="C934" t="s">
        <v>161</v>
      </c>
      <c r="D934" t="s">
        <v>15</v>
      </c>
      <c r="F934" t="s">
        <v>204</v>
      </c>
      <c r="G934">
        <f>4/9</f>
        <v>0.44444444444444442</v>
      </c>
      <c r="H934">
        <v>300</v>
      </c>
      <c r="I934">
        <f t="shared" si="455"/>
        <v>133.33333333333331</v>
      </c>
      <c r="J934" t="s">
        <v>163</v>
      </c>
      <c r="K934">
        <v>271</v>
      </c>
      <c r="M934">
        <f t="shared" si="484"/>
        <v>120.44444444444444</v>
      </c>
      <c r="N934">
        <f t="shared" si="485"/>
        <v>12.888888888888872</v>
      </c>
    </row>
    <row r="935" spans="1:14" ht="15" customHeight="1" x14ac:dyDescent="0.25">
      <c r="A935">
        <v>486</v>
      </c>
      <c r="B935" s="1">
        <v>43888</v>
      </c>
      <c r="C935" t="s">
        <v>161</v>
      </c>
      <c r="D935" t="s">
        <v>55</v>
      </c>
      <c r="F935" t="s">
        <v>22</v>
      </c>
      <c r="G935">
        <f>1/9</f>
        <v>0.1111111111111111</v>
      </c>
      <c r="H935">
        <v>300</v>
      </c>
      <c r="I935">
        <f t="shared" si="455"/>
        <v>33.333333333333329</v>
      </c>
      <c r="J935" t="s">
        <v>13</v>
      </c>
      <c r="K935">
        <v>280</v>
      </c>
      <c r="M935">
        <f t="shared" ref="M935:M937" si="486">+K935*G935</f>
        <v>31.111111111111111</v>
      </c>
      <c r="N935">
        <f t="shared" ref="N935:N937" si="487">+I935-M935</f>
        <v>2.2222222222222179</v>
      </c>
    </row>
    <row r="936" spans="1:14" ht="15" customHeight="1" x14ac:dyDescent="0.25">
      <c r="A936">
        <v>487</v>
      </c>
      <c r="B936" s="1">
        <v>43888</v>
      </c>
      <c r="C936" t="s">
        <v>161</v>
      </c>
      <c r="D936" t="s">
        <v>15</v>
      </c>
      <c r="F936" t="s">
        <v>20</v>
      </c>
      <c r="G936">
        <v>19.170000000000002</v>
      </c>
      <c r="H936">
        <v>235</v>
      </c>
      <c r="I936">
        <f t="shared" si="455"/>
        <v>4504.9500000000007</v>
      </c>
      <c r="J936" t="s">
        <v>163</v>
      </c>
      <c r="K936">
        <v>216</v>
      </c>
      <c r="M936">
        <f t="shared" si="486"/>
        <v>4140.72</v>
      </c>
      <c r="N936">
        <f t="shared" si="487"/>
        <v>364.23000000000047</v>
      </c>
    </row>
    <row r="937" spans="1:14" ht="15" customHeight="1" x14ac:dyDescent="0.25">
      <c r="A937">
        <v>488</v>
      </c>
      <c r="B937" s="1">
        <v>43888</v>
      </c>
      <c r="C937" t="s">
        <v>161</v>
      </c>
      <c r="D937" t="s">
        <v>44</v>
      </c>
      <c r="F937" t="s">
        <v>77</v>
      </c>
      <c r="G937">
        <v>2</v>
      </c>
      <c r="H937">
        <v>35</v>
      </c>
      <c r="I937">
        <f t="shared" si="455"/>
        <v>70</v>
      </c>
      <c r="J937" t="s">
        <v>166</v>
      </c>
      <c r="K937">
        <v>26</v>
      </c>
      <c r="M937">
        <f t="shared" si="486"/>
        <v>52</v>
      </c>
      <c r="N937">
        <f t="shared" si="487"/>
        <v>18</v>
      </c>
    </row>
    <row r="938" spans="1:14" ht="15" customHeight="1" x14ac:dyDescent="0.25">
      <c r="A938">
        <v>489</v>
      </c>
      <c r="B938" s="1">
        <v>43888</v>
      </c>
      <c r="C938" t="s">
        <v>161</v>
      </c>
      <c r="D938" t="s">
        <v>44</v>
      </c>
      <c r="F938" t="s">
        <v>138</v>
      </c>
      <c r="G938">
        <v>3</v>
      </c>
      <c r="H938">
        <v>35</v>
      </c>
      <c r="I938">
        <f t="shared" si="455"/>
        <v>105</v>
      </c>
      <c r="J938" t="s">
        <v>198</v>
      </c>
      <c r="K938">
        <v>26</v>
      </c>
      <c r="M938">
        <f t="shared" ref="M938" si="488">+K938*G938</f>
        <v>78</v>
      </c>
      <c r="N938">
        <f>+I938-M938</f>
        <v>27</v>
      </c>
    </row>
    <row r="939" spans="1:14" ht="15" customHeight="1" x14ac:dyDescent="0.25">
      <c r="A939">
        <v>490</v>
      </c>
      <c r="B939" s="1">
        <v>43888</v>
      </c>
      <c r="C939" t="s">
        <v>161</v>
      </c>
      <c r="D939" t="s">
        <v>25</v>
      </c>
      <c r="F939" t="s">
        <v>147</v>
      </c>
      <c r="G939">
        <v>17</v>
      </c>
      <c r="H939">
        <v>60</v>
      </c>
      <c r="I939">
        <f t="shared" si="455"/>
        <v>1020</v>
      </c>
      <c r="J939" t="s">
        <v>165</v>
      </c>
      <c r="K939">
        <f>380/12</f>
        <v>31.666666666666668</v>
      </c>
      <c r="M939">
        <f t="shared" ref="M939:M941" si="489">+K939*G939</f>
        <v>538.33333333333337</v>
      </c>
      <c r="N939">
        <f t="shared" ref="N939:N941" si="490">+I939-M939</f>
        <v>481.66666666666663</v>
      </c>
    </row>
    <row r="940" spans="1:14" ht="15" customHeight="1" x14ac:dyDescent="0.25">
      <c r="A940">
        <v>491</v>
      </c>
      <c r="B940" s="1">
        <v>43888</v>
      </c>
      <c r="C940" t="s">
        <v>161</v>
      </c>
      <c r="D940" t="s">
        <v>25</v>
      </c>
      <c r="F940" t="s">
        <v>172</v>
      </c>
      <c r="G940">
        <v>1</v>
      </c>
      <c r="H940">
        <v>100</v>
      </c>
      <c r="I940">
        <f t="shared" si="455"/>
        <v>100</v>
      </c>
      <c r="J940" t="s">
        <v>163</v>
      </c>
      <c r="K940">
        <v>76</v>
      </c>
      <c r="M940">
        <f t="shared" si="489"/>
        <v>76</v>
      </c>
      <c r="N940">
        <f t="shared" si="490"/>
        <v>24</v>
      </c>
    </row>
    <row r="941" spans="1:14" ht="15" customHeight="1" x14ac:dyDescent="0.25">
      <c r="A941">
        <v>492</v>
      </c>
      <c r="B941" s="1">
        <v>43888</v>
      </c>
      <c r="C941" t="s">
        <v>161</v>
      </c>
      <c r="D941" t="s">
        <v>15</v>
      </c>
      <c r="F941" t="s">
        <v>54</v>
      </c>
      <c r="G941">
        <v>10</v>
      </c>
      <c r="H941">
        <v>240</v>
      </c>
      <c r="I941">
        <f t="shared" si="455"/>
        <v>2400</v>
      </c>
      <c r="J941" t="s">
        <v>163</v>
      </c>
      <c r="K941">
        <v>213</v>
      </c>
      <c r="M941">
        <f t="shared" si="489"/>
        <v>2130</v>
      </c>
      <c r="N941">
        <f t="shared" si="490"/>
        <v>270</v>
      </c>
    </row>
    <row r="942" spans="1:14" ht="15" customHeight="1" x14ac:dyDescent="0.25">
      <c r="A942">
        <v>493</v>
      </c>
      <c r="B942" s="1">
        <v>43888</v>
      </c>
      <c r="C942" t="s">
        <v>161</v>
      </c>
      <c r="D942" t="s">
        <v>15</v>
      </c>
      <c r="F942" t="s">
        <v>17</v>
      </c>
      <c r="G942">
        <v>4.5</v>
      </c>
      <c r="H942">
        <v>360</v>
      </c>
      <c r="I942">
        <f t="shared" ref="I942:I952" si="491">+G942*H942</f>
        <v>1620</v>
      </c>
      <c r="J942" t="s">
        <v>13</v>
      </c>
      <c r="K942">
        <v>330</v>
      </c>
      <c r="M942">
        <f t="shared" ref="M942" si="492">+K942*G942</f>
        <v>1485</v>
      </c>
      <c r="N942">
        <f t="shared" ref="N942" si="493">+I942-M942</f>
        <v>135</v>
      </c>
    </row>
    <row r="943" spans="1:14" ht="15" customHeight="1" x14ac:dyDescent="0.25">
      <c r="A943">
        <v>494</v>
      </c>
      <c r="B943" s="1">
        <v>43889</v>
      </c>
      <c r="C943" t="s">
        <v>161</v>
      </c>
      <c r="D943" t="s">
        <v>15</v>
      </c>
      <c r="F943" t="s">
        <v>60</v>
      </c>
      <c r="G943">
        <v>1</v>
      </c>
      <c r="H943">
        <v>60</v>
      </c>
      <c r="I943">
        <f t="shared" si="491"/>
        <v>60</v>
      </c>
      <c r="J943" t="s">
        <v>165</v>
      </c>
      <c r="K943">
        <f t="shared" ref="K943:K944" si="494">380/12</f>
        <v>31.666666666666668</v>
      </c>
      <c r="M943">
        <f t="shared" ref="M943:M947" si="495">+K943*G943</f>
        <v>31.666666666666668</v>
      </c>
      <c r="N943">
        <f t="shared" ref="N943:N947" si="496">+I943-M943</f>
        <v>28.333333333333332</v>
      </c>
    </row>
    <row r="944" spans="1:14" ht="15" customHeight="1" x14ac:dyDescent="0.25">
      <c r="A944">
        <v>495</v>
      </c>
      <c r="B944" s="1">
        <v>43889</v>
      </c>
      <c r="C944" t="s">
        <v>161</v>
      </c>
      <c r="D944" t="s">
        <v>25</v>
      </c>
      <c r="F944" t="s">
        <v>61</v>
      </c>
      <c r="G944">
        <v>1</v>
      </c>
      <c r="H944">
        <v>60</v>
      </c>
      <c r="I944">
        <f t="shared" si="491"/>
        <v>60</v>
      </c>
      <c r="J944" t="s">
        <v>165</v>
      </c>
      <c r="K944">
        <f t="shared" si="494"/>
        <v>31.666666666666668</v>
      </c>
      <c r="M944">
        <f t="shared" si="495"/>
        <v>31.666666666666668</v>
      </c>
      <c r="N944">
        <f t="shared" si="496"/>
        <v>28.333333333333332</v>
      </c>
    </row>
    <row r="945" spans="1:14" ht="15" customHeight="1" x14ac:dyDescent="0.25">
      <c r="A945">
        <v>496</v>
      </c>
      <c r="B945" s="1">
        <v>43889</v>
      </c>
      <c r="C945" t="s">
        <v>161</v>
      </c>
      <c r="D945" t="s">
        <v>56</v>
      </c>
      <c r="F945" t="s">
        <v>38</v>
      </c>
      <c r="G945">
        <v>1</v>
      </c>
      <c r="H945">
        <v>120</v>
      </c>
      <c r="I945">
        <f t="shared" si="491"/>
        <v>120</v>
      </c>
      <c r="J945" t="s">
        <v>165</v>
      </c>
      <c r="K945">
        <v>80</v>
      </c>
      <c r="M945">
        <f t="shared" si="495"/>
        <v>80</v>
      </c>
      <c r="N945">
        <f t="shared" si="496"/>
        <v>40</v>
      </c>
    </row>
    <row r="946" spans="1:14" ht="15" customHeight="1" x14ac:dyDescent="0.25">
      <c r="A946">
        <v>497</v>
      </c>
      <c r="B946" s="1">
        <v>43889</v>
      </c>
      <c r="C946" t="s">
        <v>161</v>
      </c>
      <c r="D946" t="s">
        <v>55</v>
      </c>
      <c r="F946" t="s">
        <v>22</v>
      </c>
      <c r="G946">
        <v>4</v>
      </c>
      <c r="H946">
        <v>300</v>
      </c>
      <c r="I946">
        <f t="shared" si="491"/>
        <v>1200</v>
      </c>
      <c r="J946" t="s">
        <v>13</v>
      </c>
      <c r="K946">
        <v>280</v>
      </c>
      <c r="M946">
        <f t="shared" si="495"/>
        <v>1120</v>
      </c>
      <c r="N946">
        <f t="shared" si="496"/>
        <v>80</v>
      </c>
    </row>
    <row r="947" spans="1:14" ht="15" customHeight="1" x14ac:dyDescent="0.25">
      <c r="A947">
        <v>498</v>
      </c>
      <c r="B947" s="1">
        <v>43889</v>
      </c>
      <c r="C947" t="s">
        <v>161</v>
      </c>
      <c r="D947" t="s">
        <v>44</v>
      </c>
      <c r="F947" t="s">
        <v>133</v>
      </c>
      <c r="G947">
        <v>1</v>
      </c>
      <c r="H947">
        <v>35</v>
      </c>
      <c r="I947">
        <f t="shared" si="491"/>
        <v>35</v>
      </c>
      <c r="J947" t="s">
        <v>166</v>
      </c>
      <c r="K947">
        <v>26</v>
      </c>
      <c r="M947">
        <f t="shared" si="495"/>
        <v>26</v>
      </c>
      <c r="N947">
        <f t="shared" si="496"/>
        <v>9</v>
      </c>
    </row>
    <row r="948" spans="1:14" ht="15" customHeight="1" x14ac:dyDescent="0.25">
      <c r="A948">
        <v>499</v>
      </c>
      <c r="B948" s="1">
        <v>43889</v>
      </c>
      <c r="C948" t="s">
        <v>161</v>
      </c>
      <c r="D948" t="s">
        <v>15</v>
      </c>
      <c r="F948" t="s">
        <v>29</v>
      </c>
      <c r="G948">
        <v>2</v>
      </c>
      <c r="H948">
        <v>230</v>
      </c>
      <c r="I948">
        <f t="shared" si="491"/>
        <v>460</v>
      </c>
      <c r="J948" t="s">
        <v>163</v>
      </c>
      <c r="K948">
        <v>196</v>
      </c>
      <c r="M948">
        <f t="shared" ref="M948:M951" si="497">+K948*G948</f>
        <v>392</v>
      </c>
      <c r="N948">
        <f t="shared" ref="N948:N950" si="498">+I948-M948</f>
        <v>68</v>
      </c>
    </row>
    <row r="949" spans="1:14" ht="15" customHeight="1" x14ac:dyDescent="0.25">
      <c r="A949">
        <v>500</v>
      </c>
      <c r="B949" s="1">
        <v>43889</v>
      </c>
      <c r="C949" t="s">
        <v>161</v>
      </c>
      <c r="D949" t="s">
        <v>15</v>
      </c>
      <c r="F949" t="s">
        <v>54</v>
      </c>
      <c r="G949">
        <v>15</v>
      </c>
      <c r="H949">
        <v>240</v>
      </c>
      <c r="I949">
        <f t="shared" si="491"/>
        <v>3600</v>
      </c>
      <c r="J949" t="s">
        <v>163</v>
      </c>
      <c r="K949">
        <v>213</v>
      </c>
      <c r="M949">
        <f t="shared" si="497"/>
        <v>3195</v>
      </c>
      <c r="N949">
        <f t="shared" si="498"/>
        <v>405</v>
      </c>
    </row>
    <row r="950" spans="1:14" ht="15" customHeight="1" x14ac:dyDescent="0.25">
      <c r="A950">
        <v>501</v>
      </c>
      <c r="B950" s="1">
        <v>43889</v>
      </c>
      <c r="C950" t="s">
        <v>161</v>
      </c>
      <c r="D950" t="s">
        <v>56</v>
      </c>
      <c r="F950" t="s">
        <v>267</v>
      </c>
      <c r="G950">
        <v>3</v>
      </c>
      <c r="H950">
        <v>170</v>
      </c>
      <c r="I950">
        <f t="shared" si="491"/>
        <v>510</v>
      </c>
      <c r="J950" t="s">
        <v>163</v>
      </c>
      <c r="K950">
        <v>118</v>
      </c>
      <c r="M950">
        <f t="shared" si="497"/>
        <v>354</v>
      </c>
      <c r="N950">
        <f t="shared" si="498"/>
        <v>156</v>
      </c>
    </row>
    <row r="951" spans="1:14" ht="15" customHeight="1" x14ac:dyDescent="0.25">
      <c r="A951">
        <v>502</v>
      </c>
      <c r="B951" s="1">
        <v>43889</v>
      </c>
      <c r="C951" t="s">
        <v>161</v>
      </c>
      <c r="D951" t="s">
        <v>44</v>
      </c>
      <c r="F951" t="s">
        <v>138</v>
      </c>
      <c r="G951">
        <v>1</v>
      </c>
      <c r="H951">
        <v>35</v>
      </c>
      <c r="I951">
        <f t="shared" si="491"/>
        <v>35</v>
      </c>
      <c r="J951" t="s">
        <v>198</v>
      </c>
      <c r="K951">
        <v>26</v>
      </c>
      <c r="M951">
        <f t="shared" si="497"/>
        <v>26</v>
      </c>
      <c r="N951">
        <f>+I951-M951</f>
        <v>9</v>
      </c>
    </row>
    <row r="952" spans="1:14" ht="15" customHeight="1" x14ac:dyDescent="0.25">
      <c r="A952">
        <v>503</v>
      </c>
      <c r="B952" s="1">
        <v>43889</v>
      </c>
      <c r="C952" t="s">
        <v>161</v>
      </c>
      <c r="D952" t="s">
        <v>70</v>
      </c>
      <c r="F952" t="s">
        <v>265</v>
      </c>
      <c r="G952">
        <v>1</v>
      </c>
      <c r="H952">
        <v>230</v>
      </c>
      <c r="I952">
        <f t="shared" si="491"/>
        <v>230</v>
      </c>
      <c r="J952" t="s">
        <v>198</v>
      </c>
    </row>
    <row r="953" spans="1:14" ht="15" customHeight="1" x14ac:dyDescent="0.25">
      <c r="A953">
        <v>504</v>
      </c>
      <c r="B953" s="1">
        <v>43889</v>
      </c>
      <c r="C953" t="s">
        <v>161</v>
      </c>
      <c r="D953" t="s">
        <v>55</v>
      </c>
      <c r="F953" t="s">
        <v>247</v>
      </c>
      <c r="G953">
        <v>50.53</v>
      </c>
      <c r="H953">
        <v>290</v>
      </c>
      <c r="J953" t="s">
        <v>167</v>
      </c>
      <c r="K953">
        <v>268</v>
      </c>
    </row>
    <row r="954" spans="1:14" ht="15" customHeight="1" x14ac:dyDescent="0.25">
      <c r="A954">
        <v>505</v>
      </c>
      <c r="B954" s="1">
        <v>43889</v>
      </c>
      <c r="C954" t="s">
        <v>161</v>
      </c>
      <c r="D954" t="s">
        <v>15</v>
      </c>
      <c r="F954" t="s">
        <v>54</v>
      </c>
      <c r="G954">
        <f>1/4.32</f>
        <v>0.23148148148148145</v>
      </c>
      <c r="H954">
        <v>240</v>
      </c>
      <c r="I954">
        <f>+G954*H954</f>
        <v>55.55555555555555</v>
      </c>
      <c r="J954" t="s">
        <v>163</v>
      </c>
      <c r="K954">
        <v>213</v>
      </c>
      <c r="M954">
        <f t="shared" ref="M954:M955" si="499">+K954*G954</f>
        <v>49.30555555555555</v>
      </c>
      <c r="N954">
        <f t="shared" ref="N954:N955" si="500">+I954-M954</f>
        <v>6.25</v>
      </c>
    </row>
    <row r="955" spans="1:14" ht="15" customHeight="1" x14ac:dyDescent="0.25">
      <c r="A955">
        <v>506</v>
      </c>
      <c r="B955" s="1">
        <v>43890</v>
      </c>
      <c r="C955" t="s">
        <v>161</v>
      </c>
      <c r="D955" t="s">
        <v>15</v>
      </c>
      <c r="F955" t="s">
        <v>261</v>
      </c>
      <c r="G955">
        <v>24</v>
      </c>
      <c r="H955">
        <v>240</v>
      </c>
      <c r="I955">
        <f t="shared" ref="I955:I1018" si="501">+G955*H955</f>
        <v>5760</v>
      </c>
      <c r="J955" t="s">
        <v>163</v>
      </c>
      <c r="K955">
        <v>204</v>
      </c>
      <c r="M955">
        <f t="shared" si="499"/>
        <v>4896</v>
      </c>
      <c r="N955">
        <f t="shared" si="500"/>
        <v>864</v>
      </c>
    </row>
    <row r="956" spans="1:14" ht="15" customHeight="1" x14ac:dyDescent="0.25">
      <c r="A956">
        <v>507</v>
      </c>
      <c r="B956" s="1">
        <v>43890</v>
      </c>
      <c r="C956" t="s">
        <v>161</v>
      </c>
      <c r="D956" t="s">
        <v>25</v>
      </c>
      <c r="F956" t="s">
        <v>127</v>
      </c>
      <c r="G956">
        <v>4</v>
      </c>
      <c r="H956">
        <v>60</v>
      </c>
      <c r="I956">
        <f t="shared" si="501"/>
        <v>240</v>
      </c>
      <c r="J956" t="s">
        <v>165</v>
      </c>
      <c r="K956">
        <f t="shared" ref="K956" si="502">380/12</f>
        <v>31.666666666666668</v>
      </c>
      <c r="M956">
        <f t="shared" ref="M956:M958" si="503">+K956*G956</f>
        <v>126.66666666666667</v>
      </c>
      <c r="N956">
        <f t="shared" ref="N956:N958" si="504">+I956-M956</f>
        <v>113.33333333333333</v>
      </c>
    </row>
    <row r="957" spans="1:14" ht="15" customHeight="1" x14ac:dyDescent="0.25">
      <c r="A957">
        <v>508</v>
      </c>
      <c r="B957" s="1">
        <v>43890</v>
      </c>
      <c r="C957" t="s">
        <v>161</v>
      </c>
      <c r="D957" t="s">
        <v>56</v>
      </c>
      <c r="F957" t="s">
        <v>38</v>
      </c>
      <c r="G957">
        <v>3</v>
      </c>
      <c r="H957">
        <v>120</v>
      </c>
      <c r="I957">
        <f t="shared" si="501"/>
        <v>360</v>
      </c>
      <c r="J957" t="s">
        <v>165</v>
      </c>
      <c r="K957">
        <v>80</v>
      </c>
      <c r="M957">
        <f t="shared" si="503"/>
        <v>240</v>
      </c>
      <c r="N957">
        <f t="shared" si="504"/>
        <v>120</v>
      </c>
    </row>
    <row r="958" spans="1:14" ht="15" customHeight="1" x14ac:dyDescent="0.25">
      <c r="A958">
        <v>509</v>
      </c>
      <c r="B958" s="1">
        <v>43890</v>
      </c>
      <c r="C958" t="s">
        <v>161</v>
      </c>
      <c r="D958" t="s">
        <v>44</v>
      </c>
      <c r="F958" t="s">
        <v>226</v>
      </c>
      <c r="G958">
        <v>1</v>
      </c>
      <c r="H958">
        <v>35</v>
      </c>
      <c r="I958">
        <f t="shared" si="501"/>
        <v>35</v>
      </c>
      <c r="J958" t="s">
        <v>166</v>
      </c>
      <c r="K958">
        <v>26</v>
      </c>
      <c r="M958">
        <f t="shared" si="503"/>
        <v>26</v>
      </c>
      <c r="N958">
        <f t="shared" si="504"/>
        <v>9</v>
      </c>
    </row>
    <row r="959" spans="1:14" ht="15" customHeight="1" x14ac:dyDescent="0.25">
      <c r="A959">
        <v>510</v>
      </c>
      <c r="B959" s="1">
        <v>43890</v>
      </c>
      <c r="C959" t="s">
        <v>161</v>
      </c>
      <c r="D959" t="s">
        <v>15</v>
      </c>
      <c r="F959" t="s">
        <v>45</v>
      </c>
      <c r="G959">
        <f>13/9</f>
        <v>1.4444444444444444</v>
      </c>
      <c r="H959">
        <v>300</v>
      </c>
      <c r="I959">
        <f t="shared" si="501"/>
        <v>433.33333333333331</v>
      </c>
      <c r="J959" t="s">
        <v>13</v>
      </c>
      <c r="K959">
        <v>280</v>
      </c>
      <c r="M959">
        <f t="shared" ref="M959" si="505">+K959*G959</f>
        <v>404.44444444444446</v>
      </c>
      <c r="N959">
        <f t="shared" ref="N959" si="506">+I959-M959</f>
        <v>28.888888888888857</v>
      </c>
    </row>
    <row r="960" spans="1:14" ht="15" customHeight="1" x14ac:dyDescent="0.25">
      <c r="A960">
        <v>511</v>
      </c>
      <c r="B960" s="1">
        <v>43890</v>
      </c>
      <c r="C960" t="s">
        <v>161</v>
      </c>
      <c r="D960" t="s">
        <v>68</v>
      </c>
      <c r="F960" t="s">
        <v>208</v>
      </c>
      <c r="G960">
        <v>2</v>
      </c>
      <c r="H960">
        <v>100</v>
      </c>
      <c r="I960">
        <f t="shared" si="501"/>
        <v>200</v>
      </c>
      <c r="J960" t="s">
        <v>395</v>
      </c>
    </row>
    <row r="961" spans="1:14" ht="15" customHeight="1" x14ac:dyDescent="0.25">
      <c r="A961">
        <v>512</v>
      </c>
      <c r="B961" s="1">
        <v>43890</v>
      </c>
      <c r="C961" t="s">
        <v>161</v>
      </c>
      <c r="D961" t="s">
        <v>70</v>
      </c>
      <c r="F961" t="s">
        <v>227</v>
      </c>
      <c r="G961">
        <v>1</v>
      </c>
      <c r="H961">
        <v>1650</v>
      </c>
      <c r="I961">
        <f t="shared" si="501"/>
        <v>1650</v>
      </c>
      <c r="J961" t="s">
        <v>167</v>
      </c>
      <c r="K961">
        <v>1440</v>
      </c>
      <c r="M961">
        <f t="shared" ref="M961" si="507">+K961*G961</f>
        <v>1440</v>
      </c>
      <c r="N961">
        <f t="shared" ref="N961" si="508">+I961-M961</f>
        <v>210</v>
      </c>
    </row>
    <row r="962" spans="1:14" ht="15" customHeight="1" x14ac:dyDescent="0.25">
      <c r="A962">
        <v>513</v>
      </c>
      <c r="B962" s="1">
        <v>43890</v>
      </c>
      <c r="C962" t="s">
        <v>161</v>
      </c>
      <c r="D962" t="s">
        <v>15</v>
      </c>
      <c r="F962" t="s">
        <v>80</v>
      </c>
      <c r="G962">
        <v>2.31</v>
      </c>
      <c r="H962">
        <v>240</v>
      </c>
      <c r="I962">
        <f t="shared" si="501"/>
        <v>554.4</v>
      </c>
      <c r="J962" t="s">
        <v>163</v>
      </c>
      <c r="K962">
        <v>213</v>
      </c>
      <c r="M962">
        <f t="shared" ref="M962:M964" si="509">+K962*G962</f>
        <v>492.03000000000003</v>
      </c>
      <c r="N962">
        <f t="shared" ref="N962:N964" si="510">+I962-M962</f>
        <v>62.369999999999948</v>
      </c>
    </row>
    <row r="963" spans="1:14" ht="15" customHeight="1" x14ac:dyDescent="0.25">
      <c r="A963">
        <v>514</v>
      </c>
      <c r="B963" s="1">
        <v>43890</v>
      </c>
      <c r="C963" t="s">
        <v>161</v>
      </c>
      <c r="D963" t="s">
        <v>70</v>
      </c>
      <c r="F963" t="s">
        <v>227</v>
      </c>
      <c r="G963">
        <v>1</v>
      </c>
      <c r="H963">
        <v>1650</v>
      </c>
      <c r="I963">
        <f t="shared" si="501"/>
        <v>1650</v>
      </c>
      <c r="J963" t="s">
        <v>167</v>
      </c>
      <c r="K963">
        <v>1440</v>
      </c>
      <c r="M963">
        <f t="shared" si="509"/>
        <v>1440</v>
      </c>
      <c r="N963">
        <f t="shared" si="510"/>
        <v>210</v>
      </c>
    </row>
    <row r="964" spans="1:14" ht="15" customHeight="1" x14ac:dyDescent="0.25">
      <c r="A964">
        <v>515</v>
      </c>
      <c r="B964" s="1">
        <v>43890</v>
      </c>
      <c r="C964" t="s">
        <v>161</v>
      </c>
      <c r="D964" t="s">
        <v>85</v>
      </c>
      <c r="F964" t="s">
        <v>216</v>
      </c>
      <c r="G964">
        <v>1</v>
      </c>
      <c r="H964">
        <v>900</v>
      </c>
      <c r="I964">
        <f t="shared" si="501"/>
        <v>900</v>
      </c>
      <c r="J964" t="s">
        <v>167</v>
      </c>
      <c r="K964">
        <v>440</v>
      </c>
      <c r="M964">
        <f t="shared" si="509"/>
        <v>440</v>
      </c>
      <c r="N964">
        <f t="shared" si="510"/>
        <v>460</v>
      </c>
    </row>
    <row r="965" spans="1:14" ht="15" customHeight="1" x14ac:dyDescent="0.25">
      <c r="A965">
        <v>516</v>
      </c>
      <c r="B965" s="1">
        <v>43890</v>
      </c>
      <c r="C965" t="s">
        <v>161</v>
      </c>
      <c r="D965" t="s">
        <v>85</v>
      </c>
      <c r="F965" t="s">
        <v>266</v>
      </c>
      <c r="G965">
        <v>1</v>
      </c>
      <c r="H965">
        <v>240</v>
      </c>
      <c r="I965">
        <f t="shared" si="501"/>
        <v>240</v>
      </c>
      <c r="J965" t="s">
        <v>166</v>
      </c>
    </row>
    <row r="966" spans="1:14" ht="15" customHeight="1" x14ac:dyDescent="0.25">
      <c r="A966">
        <v>517</v>
      </c>
      <c r="B966" s="1">
        <v>43890</v>
      </c>
      <c r="C966" t="s">
        <v>161</v>
      </c>
      <c r="D966" t="s">
        <v>15</v>
      </c>
      <c r="F966" t="s">
        <v>21</v>
      </c>
      <c r="G966">
        <v>1.5</v>
      </c>
      <c r="H966">
        <v>300</v>
      </c>
      <c r="I966">
        <f t="shared" si="501"/>
        <v>450</v>
      </c>
      <c r="J966" t="s">
        <v>13</v>
      </c>
      <c r="K966">
        <v>280</v>
      </c>
      <c r="M966">
        <f t="shared" ref="M966:M968" si="511">+K966*G966</f>
        <v>420</v>
      </c>
      <c r="N966">
        <f t="shared" ref="N966:N968" si="512">+I966-M966</f>
        <v>30</v>
      </c>
    </row>
    <row r="967" spans="1:14" ht="15" customHeight="1" x14ac:dyDescent="0.25">
      <c r="A967">
        <v>518</v>
      </c>
      <c r="B967" s="1">
        <v>43890</v>
      </c>
      <c r="C967" t="s">
        <v>161</v>
      </c>
      <c r="D967" t="s">
        <v>70</v>
      </c>
      <c r="F967" t="s">
        <v>152</v>
      </c>
      <c r="G967">
        <v>1</v>
      </c>
      <c r="H967">
        <v>85</v>
      </c>
      <c r="I967">
        <f t="shared" si="501"/>
        <v>85</v>
      </c>
      <c r="J967" t="s">
        <v>163</v>
      </c>
      <c r="K967">
        <v>67</v>
      </c>
      <c r="M967">
        <f t="shared" si="511"/>
        <v>67</v>
      </c>
      <c r="N967">
        <f t="shared" si="512"/>
        <v>18</v>
      </c>
    </row>
    <row r="968" spans="1:14" ht="15" customHeight="1" x14ac:dyDescent="0.25">
      <c r="A968">
        <v>519</v>
      </c>
      <c r="B968" s="1">
        <v>43890</v>
      </c>
      <c r="C968" t="s">
        <v>161</v>
      </c>
      <c r="D968" t="s">
        <v>85</v>
      </c>
      <c r="F968" t="s">
        <v>152</v>
      </c>
      <c r="G968">
        <v>1</v>
      </c>
      <c r="H968">
        <v>75</v>
      </c>
      <c r="I968">
        <f t="shared" si="501"/>
        <v>75</v>
      </c>
      <c r="J968" t="s">
        <v>163</v>
      </c>
      <c r="K968">
        <v>67</v>
      </c>
      <c r="M968">
        <f t="shared" si="511"/>
        <v>67</v>
      </c>
      <c r="N968">
        <f t="shared" si="512"/>
        <v>8</v>
      </c>
    </row>
    <row r="969" spans="1:14" x14ac:dyDescent="0.25">
      <c r="A969">
        <v>1</v>
      </c>
      <c r="B969" s="1">
        <v>43892</v>
      </c>
      <c r="C969" t="s">
        <v>276</v>
      </c>
      <c r="D969" t="s">
        <v>15</v>
      </c>
      <c r="F969" t="s">
        <v>96</v>
      </c>
      <c r="G969">
        <v>3</v>
      </c>
      <c r="H969">
        <v>230</v>
      </c>
      <c r="I969">
        <f t="shared" si="501"/>
        <v>690</v>
      </c>
      <c r="J969" t="s">
        <v>163</v>
      </c>
      <c r="K969">
        <v>182</v>
      </c>
      <c r="M969">
        <f t="shared" ref="M969" si="513">+K969*G969</f>
        <v>546</v>
      </c>
      <c r="N969">
        <f t="shared" ref="N969" si="514">+I969-M969</f>
        <v>144</v>
      </c>
    </row>
    <row r="970" spans="1:14" x14ac:dyDescent="0.25">
      <c r="A970">
        <v>2</v>
      </c>
      <c r="B970" s="1">
        <v>43892</v>
      </c>
      <c r="C970" t="s">
        <v>276</v>
      </c>
      <c r="D970" t="s">
        <v>23</v>
      </c>
      <c r="F970" t="s">
        <v>268</v>
      </c>
      <c r="G970">
        <v>1</v>
      </c>
      <c r="H970">
        <v>170</v>
      </c>
      <c r="I970">
        <f t="shared" si="501"/>
        <v>170</v>
      </c>
      <c r="J970" t="s">
        <v>23</v>
      </c>
    </row>
    <row r="971" spans="1:14" x14ac:dyDescent="0.25">
      <c r="A971">
        <v>3</v>
      </c>
      <c r="B971" s="1">
        <v>43892</v>
      </c>
      <c r="C971" t="s">
        <v>276</v>
      </c>
      <c r="D971" t="s">
        <v>44</v>
      </c>
      <c r="F971" t="s">
        <v>226</v>
      </c>
      <c r="G971">
        <v>3</v>
      </c>
      <c r="H971">
        <v>35</v>
      </c>
      <c r="I971">
        <f t="shared" si="501"/>
        <v>105</v>
      </c>
      <c r="J971" t="s">
        <v>166</v>
      </c>
      <c r="K971">
        <v>26</v>
      </c>
      <c r="M971">
        <f t="shared" ref="M971:M973" si="515">+K971*G971</f>
        <v>78</v>
      </c>
      <c r="N971">
        <f t="shared" ref="N971:N973" si="516">+I971-M971</f>
        <v>27</v>
      </c>
    </row>
    <row r="972" spans="1:14" x14ac:dyDescent="0.25">
      <c r="A972">
        <v>4</v>
      </c>
      <c r="B972" s="1">
        <v>43892</v>
      </c>
      <c r="C972" t="s">
        <v>276</v>
      </c>
      <c r="D972" t="s">
        <v>15</v>
      </c>
      <c r="F972" t="s">
        <v>153</v>
      </c>
      <c r="G972">
        <v>1.53</v>
      </c>
      <c r="H972">
        <v>288</v>
      </c>
      <c r="I972">
        <f t="shared" si="501"/>
        <v>440.64</v>
      </c>
      <c r="J972" t="s">
        <v>163</v>
      </c>
      <c r="K972">
        <v>220</v>
      </c>
      <c r="M972">
        <f t="shared" si="515"/>
        <v>336.6</v>
      </c>
      <c r="N972">
        <f t="shared" si="516"/>
        <v>104.03999999999996</v>
      </c>
    </row>
    <row r="973" spans="1:14" x14ac:dyDescent="0.25">
      <c r="A973">
        <v>5</v>
      </c>
      <c r="B973" s="1">
        <v>43892</v>
      </c>
      <c r="C973" t="s">
        <v>276</v>
      </c>
      <c r="D973" t="s">
        <v>56</v>
      </c>
      <c r="F973" t="s">
        <v>267</v>
      </c>
      <c r="G973">
        <v>1</v>
      </c>
      <c r="H973">
        <v>170</v>
      </c>
      <c r="I973">
        <f t="shared" si="501"/>
        <v>170</v>
      </c>
      <c r="J973" t="s">
        <v>163</v>
      </c>
      <c r="K973">
        <v>132</v>
      </c>
      <c r="M973">
        <f t="shared" si="515"/>
        <v>132</v>
      </c>
      <c r="N973">
        <f t="shared" si="516"/>
        <v>38</v>
      </c>
    </row>
    <row r="974" spans="1:14" x14ac:dyDescent="0.25">
      <c r="A974">
        <v>6</v>
      </c>
      <c r="B974" s="1">
        <v>43892</v>
      </c>
      <c r="C974" t="s">
        <v>276</v>
      </c>
      <c r="D974" t="s">
        <v>70</v>
      </c>
      <c r="F974" t="s">
        <v>269</v>
      </c>
      <c r="G974">
        <v>1</v>
      </c>
      <c r="H974">
        <v>1900</v>
      </c>
      <c r="I974">
        <f t="shared" si="501"/>
        <v>1900</v>
      </c>
      <c r="J974" t="s">
        <v>167</v>
      </c>
      <c r="K974">
        <v>1580</v>
      </c>
      <c r="M974">
        <f t="shared" ref="M974:M975" si="517">+K974*G974</f>
        <v>1580</v>
      </c>
      <c r="N974">
        <f t="shared" ref="N974:N975" si="518">+I974-M974</f>
        <v>320</v>
      </c>
    </row>
    <row r="975" spans="1:14" x14ac:dyDescent="0.25">
      <c r="A975">
        <v>7</v>
      </c>
      <c r="B975" s="1">
        <v>43892</v>
      </c>
      <c r="C975" t="s">
        <v>276</v>
      </c>
      <c r="D975" t="s">
        <v>15</v>
      </c>
      <c r="F975" t="s">
        <v>219</v>
      </c>
      <c r="G975">
        <v>4</v>
      </c>
      <c r="H975">
        <v>230</v>
      </c>
      <c r="I975">
        <f t="shared" si="501"/>
        <v>920</v>
      </c>
      <c r="J975" t="s">
        <v>163</v>
      </c>
      <c r="K975">
        <v>196</v>
      </c>
      <c r="M975">
        <f t="shared" si="517"/>
        <v>784</v>
      </c>
      <c r="N975">
        <f t="shared" si="518"/>
        <v>136</v>
      </c>
    </row>
    <row r="976" spans="1:14" x14ac:dyDescent="0.25">
      <c r="A976">
        <v>8</v>
      </c>
      <c r="B976" s="1">
        <v>43892</v>
      </c>
      <c r="C976" t="s">
        <v>276</v>
      </c>
      <c r="D976" t="s">
        <v>85</v>
      </c>
      <c r="F976" t="s">
        <v>216</v>
      </c>
      <c r="G976">
        <v>1</v>
      </c>
      <c r="H976">
        <v>900</v>
      </c>
      <c r="I976">
        <f t="shared" si="501"/>
        <v>900</v>
      </c>
      <c r="J976" t="s">
        <v>167</v>
      </c>
      <c r="K976">
        <v>440</v>
      </c>
      <c r="M976">
        <f t="shared" ref="M976:M977" si="519">+K976*G976</f>
        <v>440</v>
      </c>
      <c r="N976">
        <f t="shared" ref="N976:N977" si="520">+I976-M976</f>
        <v>460</v>
      </c>
    </row>
    <row r="977" spans="1:14" x14ac:dyDescent="0.25">
      <c r="A977">
        <v>9</v>
      </c>
      <c r="B977" s="1">
        <v>43892</v>
      </c>
      <c r="C977" t="s">
        <v>276</v>
      </c>
      <c r="D977" t="s">
        <v>55</v>
      </c>
      <c r="F977" t="s">
        <v>22</v>
      </c>
      <c r="G977">
        <v>4</v>
      </c>
      <c r="H977">
        <v>300</v>
      </c>
      <c r="I977">
        <f t="shared" si="501"/>
        <v>1200</v>
      </c>
      <c r="J977" t="s">
        <v>13</v>
      </c>
      <c r="K977">
        <v>280</v>
      </c>
      <c r="M977">
        <f t="shared" si="519"/>
        <v>1120</v>
      </c>
      <c r="N977">
        <f t="shared" si="520"/>
        <v>80</v>
      </c>
    </row>
    <row r="978" spans="1:14" x14ac:dyDescent="0.25">
      <c r="A978">
        <v>10</v>
      </c>
      <c r="B978" s="1">
        <v>43892</v>
      </c>
      <c r="C978" t="s">
        <v>276</v>
      </c>
      <c r="D978" t="s">
        <v>25</v>
      </c>
      <c r="F978" t="s">
        <v>137</v>
      </c>
      <c r="G978">
        <v>1</v>
      </c>
      <c r="H978">
        <v>60</v>
      </c>
      <c r="I978">
        <f t="shared" si="501"/>
        <v>60</v>
      </c>
      <c r="J978" t="s">
        <v>165</v>
      </c>
      <c r="K978">
        <f t="shared" ref="K978" si="521">380/12</f>
        <v>31.666666666666668</v>
      </c>
      <c r="M978">
        <f t="shared" ref="M978:M982" si="522">+K978*G978</f>
        <v>31.666666666666668</v>
      </c>
      <c r="N978">
        <f t="shared" ref="N978:N982" si="523">+I978-M978</f>
        <v>28.333333333333332</v>
      </c>
    </row>
    <row r="979" spans="1:14" x14ac:dyDescent="0.25">
      <c r="A979">
        <v>11</v>
      </c>
      <c r="B979" s="1">
        <v>43892</v>
      </c>
      <c r="C979" t="s">
        <v>276</v>
      </c>
      <c r="D979" t="s">
        <v>15</v>
      </c>
      <c r="F979" t="s">
        <v>95</v>
      </c>
      <c r="G979">
        <v>5</v>
      </c>
      <c r="H979">
        <v>280</v>
      </c>
      <c r="I979">
        <f t="shared" si="501"/>
        <v>1400</v>
      </c>
      <c r="J979" t="s">
        <v>163</v>
      </c>
      <c r="K979">
        <v>215</v>
      </c>
      <c r="M979">
        <f t="shared" si="522"/>
        <v>1075</v>
      </c>
      <c r="N979">
        <f t="shared" si="523"/>
        <v>325</v>
      </c>
    </row>
    <row r="980" spans="1:14" x14ac:dyDescent="0.25">
      <c r="A980">
        <v>12</v>
      </c>
      <c r="B980" s="1">
        <v>43892</v>
      </c>
      <c r="C980" t="s">
        <v>276</v>
      </c>
      <c r="D980" t="s">
        <v>15</v>
      </c>
      <c r="F980" t="s">
        <v>20</v>
      </c>
      <c r="G980">
        <v>12</v>
      </c>
      <c r="H980">
        <v>240</v>
      </c>
      <c r="I980">
        <f t="shared" si="501"/>
        <v>2880</v>
      </c>
      <c r="J980" t="s">
        <v>163</v>
      </c>
      <c r="K980">
        <v>216</v>
      </c>
      <c r="M980">
        <f t="shared" si="522"/>
        <v>2592</v>
      </c>
      <c r="N980">
        <f t="shared" si="523"/>
        <v>288</v>
      </c>
    </row>
    <row r="981" spans="1:14" x14ac:dyDescent="0.25">
      <c r="A981">
        <v>13</v>
      </c>
      <c r="B981" s="1">
        <v>43892</v>
      </c>
      <c r="C981" t="s">
        <v>276</v>
      </c>
      <c r="D981" t="s">
        <v>15</v>
      </c>
      <c r="F981" t="s">
        <v>29</v>
      </c>
      <c r="G981">
        <v>10</v>
      </c>
      <c r="H981">
        <v>230</v>
      </c>
      <c r="I981">
        <f t="shared" si="501"/>
        <v>2300</v>
      </c>
      <c r="J981" t="s">
        <v>163</v>
      </c>
      <c r="K981">
        <v>196</v>
      </c>
      <c r="M981">
        <f t="shared" si="522"/>
        <v>1960</v>
      </c>
      <c r="N981">
        <f t="shared" si="523"/>
        <v>340</v>
      </c>
    </row>
    <row r="982" spans="1:14" x14ac:dyDescent="0.25">
      <c r="A982">
        <v>14</v>
      </c>
      <c r="B982" s="1">
        <v>43892</v>
      </c>
      <c r="C982" t="s">
        <v>276</v>
      </c>
      <c r="D982" t="s">
        <v>15</v>
      </c>
      <c r="F982" t="s">
        <v>76</v>
      </c>
      <c r="G982">
        <v>4</v>
      </c>
      <c r="H982">
        <v>230</v>
      </c>
      <c r="I982">
        <f t="shared" si="501"/>
        <v>920</v>
      </c>
      <c r="J982" t="s">
        <v>163</v>
      </c>
      <c r="K982">
        <v>196</v>
      </c>
      <c r="M982">
        <f t="shared" si="522"/>
        <v>784</v>
      </c>
      <c r="N982">
        <f t="shared" si="523"/>
        <v>136</v>
      </c>
    </row>
    <row r="983" spans="1:14" x14ac:dyDescent="0.25">
      <c r="A983">
        <v>15</v>
      </c>
      <c r="B983" s="1">
        <v>43892</v>
      </c>
      <c r="C983" t="s">
        <v>276</v>
      </c>
      <c r="D983" t="s">
        <v>25</v>
      </c>
      <c r="F983" t="s">
        <v>127</v>
      </c>
      <c r="G983">
        <v>3</v>
      </c>
      <c r="H983">
        <v>60</v>
      </c>
      <c r="I983">
        <f t="shared" si="501"/>
        <v>180</v>
      </c>
      <c r="J983" t="s">
        <v>165</v>
      </c>
      <c r="K983">
        <f t="shared" ref="K983:K984" si="524">380/12</f>
        <v>31.666666666666668</v>
      </c>
      <c r="M983">
        <f t="shared" ref="M983:M987" si="525">+K983*G983</f>
        <v>95</v>
      </c>
      <c r="N983">
        <f t="shared" ref="N983:N987" si="526">+I983-M983</f>
        <v>85</v>
      </c>
    </row>
    <row r="984" spans="1:14" x14ac:dyDescent="0.25">
      <c r="A984">
        <v>16</v>
      </c>
      <c r="B984" s="1">
        <v>43892</v>
      </c>
      <c r="C984" t="s">
        <v>276</v>
      </c>
      <c r="D984" t="s">
        <v>25</v>
      </c>
      <c r="F984" t="s">
        <v>128</v>
      </c>
      <c r="G984">
        <v>1</v>
      </c>
      <c r="H984">
        <v>60</v>
      </c>
      <c r="I984">
        <f t="shared" si="501"/>
        <v>60</v>
      </c>
      <c r="J984" t="s">
        <v>165</v>
      </c>
      <c r="K984">
        <f t="shared" si="524"/>
        <v>31.666666666666668</v>
      </c>
      <c r="M984">
        <f t="shared" si="525"/>
        <v>31.666666666666668</v>
      </c>
      <c r="N984">
        <f t="shared" si="526"/>
        <v>28.333333333333332</v>
      </c>
    </row>
    <row r="985" spans="1:14" x14ac:dyDescent="0.25">
      <c r="A985">
        <v>17</v>
      </c>
      <c r="B985" s="1">
        <v>43892</v>
      </c>
      <c r="C985" t="s">
        <v>276</v>
      </c>
      <c r="D985" t="s">
        <v>55</v>
      </c>
      <c r="F985" t="s">
        <v>270</v>
      </c>
      <c r="G985">
        <v>7.5</v>
      </c>
      <c r="H985">
        <v>300</v>
      </c>
      <c r="I985">
        <f t="shared" si="501"/>
        <v>2250</v>
      </c>
      <c r="J985" t="s">
        <v>13</v>
      </c>
      <c r="K985">
        <v>280</v>
      </c>
      <c r="M985">
        <f t="shared" si="525"/>
        <v>2100</v>
      </c>
      <c r="N985">
        <f t="shared" si="526"/>
        <v>150</v>
      </c>
    </row>
    <row r="986" spans="1:14" x14ac:dyDescent="0.25">
      <c r="A986">
        <v>18</v>
      </c>
      <c r="B986" s="1">
        <v>43892</v>
      </c>
      <c r="C986" t="s">
        <v>276</v>
      </c>
      <c r="D986" t="s">
        <v>56</v>
      </c>
      <c r="F986" t="s">
        <v>267</v>
      </c>
      <c r="G986">
        <v>1</v>
      </c>
      <c r="H986">
        <v>170</v>
      </c>
      <c r="I986">
        <f t="shared" si="501"/>
        <v>170</v>
      </c>
      <c r="J986" t="s">
        <v>163</v>
      </c>
      <c r="K986">
        <v>132</v>
      </c>
      <c r="M986">
        <f t="shared" si="525"/>
        <v>132</v>
      </c>
      <c r="N986">
        <f t="shared" si="526"/>
        <v>38</v>
      </c>
    </row>
    <row r="987" spans="1:14" x14ac:dyDescent="0.25">
      <c r="A987">
        <v>19</v>
      </c>
      <c r="B987" s="1">
        <v>43892</v>
      </c>
      <c r="C987" t="s">
        <v>276</v>
      </c>
      <c r="D987" t="s">
        <v>25</v>
      </c>
      <c r="F987" t="s">
        <v>172</v>
      </c>
      <c r="G987">
        <v>2</v>
      </c>
      <c r="H987">
        <v>100</v>
      </c>
      <c r="I987">
        <f t="shared" si="501"/>
        <v>200</v>
      </c>
      <c r="J987" t="s">
        <v>163</v>
      </c>
      <c r="K987">
        <v>76</v>
      </c>
      <c r="M987">
        <f t="shared" si="525"/>
        <v>152</v>
      </c>
      <c r="N987">
        <f t="shared" si="526"/>
        <v>48</v>
      </c>
    </row>
    <row r="988" spans="1:14" x14ac:dyDescent="0.25">
      <c r="A988">
        <v>20</v>
      </c>
      <c r="B988" s="1">
        <v>43892</v>
      </c>
      <c r="C988" t="s">
        <v>276</v>
      </c>
      <c r="D988" t="s">
        <v>56</v>
      </c>
      <c r="F988" t="s">
        <v>38</v>
      </c>
      <c r="G988">
        <v>1</v>
      </c>
      <c r="H988">
        <v>120</v>
      </c>
      <c r="I988">
        <f t="shared" si="501"/>
        <v>120</v>
      </c>
      <c r="J988" t="s">
        <v>165</v>
      </c>
      <c r="K988">
        <v>80</v>
      </c>
      <c r="M988">
        <f t="shared" ref="M988:M990" si="527">+K988*G988</f>
        <v>80</v>
      </c>
      <c r="N988">
        <f t="shared" ref="N988:N990" si="528">+I988-M988</f>
        <v>40</v>
      </c>
    </row>
    <row r="989" spans="1:14" x14ac:dyDescent="0.25">
      <c r="A989">
        <v>21</v>
      </c>
      <c r="B989" s="1">
        <v>43892</v>
      </c>
      <c r="C989" t="s">
        <v>276</v>
      </c>
      <c r="D989" t="s">
        <v>55</v>
      </c>
      <c r="F989" t="s">
        <v>22</v>
      </c>
      <c r="G989">
        <v>13</v>
      </c>
      <c r="H989">
        <v>300</v>
      </c>
      <c r="I989">
        <f t="shared" si="501"/>
        <v>3900</v>
      </c>
      <c r="J989" t="s">
        <v>13</v>
      </c>
      <c r="K989">
        <v>280</v>
      </c>
      <c r="M989">
        <f t="shared" si="527"/>
        <v>3640</v>
      </c>
      <c r="N989">
        <f t="shared" si="528"/>
        <v>260</v>
      </c>
    </row>
    <row r="990" spans="1:14" x14ac:dyDescent="0.25">
      <c r="A990">
        <v>22</v>
      </c>
      <c r="B990" s="1">
        <v>43892</v>
      </c>
      <c r="C990" t="s">
        <v>276</v>
      </c>
      <c r="D990" t="s">
        <v>25</v>
      </c>
      <c r="F990" t="s">
        <v>203</v>
      </c>
      <c r="G990">
        <v>3</v>
      </c>
      <c r="H990">
        <v>100</v>
      </c>
      <c r="I990">
        <f t="shared" si="501"/>
        <v>300</v>
      </c>
      <c r="J990" t="s">
        <v>163</v>
      </c>
      <c r="K990">
        <v>76</v>
      </c>
      <c r="M990">
        <f t="shared" si="527"/>
        <v>228</v>
      </c>
      <c r="N990">
        <f t="shared" si="528"/>
        <v>72</v>
      </c>
    </row>
    <row r="991" spans="1:14" x14ac:dyDescent="0.25">
      <c r="A991">
        <v>23</v>
      </c>
      <c r="B991" s="1">
        <v>43892</v>
      </c>
      <c r="C991" t="s">
        <v>276</v>
      </c>
      <c r="D991" t="s">
        <v>44</v>
      </c>
      <c r="F991" t="s">
        <v>138</v>
      </c>
      <c r="G991">
        <v>1</v>
      </c>
      <c r="H991">
        <v>35</v>
      </c>
      <c r="I991">
        <f t="shared" si="501"/>
        <v>35</v>
      </c>
      <c r="J991" t="s">
        <v>166</v>
      </c>
      <c r="K991">
        <v>26</v>
      </c>
      <c r="M991">
        <f t="shared" ref="M991:M992" si="529">+K991*G991</f>
        <v>26</v>
      </c>
      <c r="N991">
        <f t="shared" ref="N991:N992" si="530">+I991-M991</f>
        <v>9</v>
      </c>
    </row>
    <row r="992" spans="1:14" x14ac:dyDescent="0.25">
      <c r="A992">
        <v>24</v>
      </c>
      <c r="B992" s="1">
        <v>43892</v>
      </c>
      <c r="C992" t="s">
        <v>276</v>
      </c>
      <c r="D992" t="s">
        <v>56</v>
      </c>
      <c r="F992" t="s">
        <v>267</v>
      </c>
      <c r="G992">
        <v>2</v>
      </c>
      <c r="H992">
        <v>170</v>
      </c>
      <c r="I992">
        <f t="shared" si="501"/>
        <v>340</v>
      </c>
      <c r="J992" t="s">
        <v>163</v>
      </c>
      <c r="K992">
        <v>132</v>
      </c>
      <c r="M992">
        <f t="shared" si="529"/>
        <v>264</v>
      </c>
      <c r="N992">
        <f t="shared" si="530"/>
        <v>76</v>
      </c>
    </row>
    <row r="993" spans="1:14" x14ac:dyDescent="0.25">
      <c r="A993">
        <v>25</v>
      </c>
      <c r="B993" s="1">
        <v>43892</v>
      </c>
      <c r="C993" t="s">
        <v>276</v>
      </c>
      <c r="D993" t="s">
        <v>44</v>
      </c>
      <c r="F993" t="s">
        <v>138</v>
      </c>
      <c r="G993">
        <v>1</v>
      </c>
      <c r="H993">
        <v>35</v>
      </c>
      <c r="I993">
        <f t="shared" si="501"/>
        <v>35</v>
      </c>
      <c r="J993" t="s">
        <v>166</v>
      </c>
      <c r="K993">
        <v>26</v>
      </c>
      <c r="M993">
        <f t="shared" ref="M993:M995" si="531">+K993*G993</f>
        <v>26</v>
      </c>
      <c r="N993">
        <f t="shared" ref="N993:N995" si="532">+I993-M993</f>
        <v>9</v>
      </c>
    </row>
    <row r="994" spans="1:14" x14ac:dyDescent="0.25">
      <c r="A994">
        <v>26</v>
      </c>
      <c r="B994" s="1">
        <v>43892</v>
      </c>
      <c r="C994" t="s">
        <v>276</v>
      </c>
      <c r="D994" t="s">
        <v>15</v>
      </c>
      <c r="F994" t="s">
        <v>20</v>
      </c>
      <c r="G994">
        <v>1</v>
      </c>
      <c r="H994">
        <v>240</v>
      </c>
      <c r="I994">
        <f t="shared" si="501"/>
        <v>240</v>
      </c>
      <c r="J994" t="s">
        <v>163</v>
      </c>
      <c r="K994">
        <v>216</v>
      </c>
      <c r="M994">
        <f t="shared" si="531"/>
        <v>216</v>
      </c>
      <c r="N994">
        <f t="shared" si="532"/>
        <v>24</v>
      </c>
    </row>
    <row r="995" spans="1:14" x14ac:dyDescent="0.25">
      <c r="A995">
        <v>27</v>
      </c>
      <c r="B995" s="1">
        <v>43892</v>
      </c>
      <c r="C995" t="s">
        <v>276</v>
      </c>
      <c r="D995" t="s">
        <v>15</v>
      </c>
      <c r="F995" t="s">
        <v>80</v>
      </c>
      <c r="G995">
        <v>35</v>
      </c>
      <c r="H995">
        <v>240</v>
      </c>
      <c r="I995">
        <f t="shared" si="501"/>
        <v>8400</v>
      </c>
      <c r="J995" t="s">
        <v>163</v>
      </c>
      <c r="K995">
        <v>213</v>
      </c>
      <c r="M995">
        <f t="shared" si="531"/>
        <v>7455</v>
      </c>
      <c r="N995">
        <f t="shared" si="532"/>
        <v>945</v>
      </c>
    </row>
    <row r="996" spans="1:14" x14ac:dyDescent="0.25">
      <c r="A996">
        <v>28</v>
      </c>
      <c r="B996" s="1">
        <v>43892</v>
      </c>
      <c r="C996" t="s">
        <v>276</v>
      </c>
      <c r="D996" t="s">
        <v>44</v>
      </c>
      <c r="F996" t="s">
        <v>226</v>
      </c>
      <c r="G996">
        <v>2</v>
      </c>
      <c r="H996">
        <v>35</v>
      </c>
      <c r="I996">
        <f t="shared" si="501"/>
        <v>70</v>
      </c>
      <c r="J996" t="s">
        <v>166</v>
      </c>
      <c r="K996">
        <v>26</v>
      </c>
      <c r="M996">
        <f t="shared" ref="M996" si="533">+K996*G996</f>
        <v>52</v>
      </c>
      <c r="N996">
        <f t="shared" ref="N996" si="534">+I996-M996</f>
        <v>18</v>
      </c>
    </row>
    <row r="997" spans="1:14" x14ac:dyDescent="0.25">
      <c r="A997">
        <v>29</v>
      </c>
      <c r="B997" s="1">
        <v>43893</v>
      </c>
      <c r="C997" t="s">
        <v>276</v>
      </c>
      <c r="D997" t="s">
        <v>55</v>
      </c>
      <c r="F997" t="s">
        <v>22</v>
      </c>
      <c r="G997">
        <f>2/17</f>
        <v>0.11764705882352941</v>
      </c>
      <c r="H997">
        <v>300</v>
      </c>
      <c r="I997">
        <f t="shared" si="501"/>
        <v>35.294117647058826</v>
      </c>
      <c r="J997" t="s">
        <v>13</v>
      </c>
      <c r="K997">
        <v>280</v>
      </c>
      <c r="M997">
        <f t="shared" ref="M997:M998" si="535">+K997*G997</f>
        <v>32.941176470588232</v>
      </c>
      <c r="N997">
        <f t="shared" ref="N997:N998" si="536">+I997-M997</f>
        <v>2.3529411764705941</v>
      </c>
    </row>
    <row r="998" spans="1:14" x14ac:dyDescent="0.25">
      <c r="A998">
        <v>30</v>
      </c>
      <c r="B998" s="1">
        <v>43893</v>
      </c>
      <c r="C998" t="s">
        <v>276</v>
      </c>
      <c r="D998" t="s">
        <v>55</v>
      </c>
      <c r="F998" t="s">
        <v>22</v>
      </c>
      <c r="G998">
        <v>1</v>
      </c>
      <c r="H998">
        <v>300</v>
      </c>
      <c r="I998">
        <f t="shared" si="501"/>
        <v>300</v>
      </c>
      <c r="J998" t="s">
        <v>13</v>
      </c>
      <c r="K998">
        <v>280</v>
      </c>
      <c r="M998">
        <f t="shared" si="535"/>
        <v>280</v>
      </c>
      <c r="N998">
        <f t="shared" si="536"/>
        <v>20</v>
      </c>
    </row>
    <row r="999" spans="1:14" x14ac:dyDescent="0.25">
      <c r="A999">
        <v>31</v>
      </c>
      <c r="B999" s="1">
        <v>43893</v>
      </c>
      <c r="C999" t="s">
        <v>276</v>
      </c>
      <c r="D999" t="s">
        <v>25</v>
      </c>
      <c r="F999" t="s">
        <v>142</v>
      </c>
      <c r="G999">
        <v>1</v>
      </c>
      <c r="H999">
        <v>60</v>
      </c>
      <c r="I999">
        <f t="shared" si="501"/>
        <v>60</v>
      </c>
      <c r="J999" t="s">
        <v>165</v>
      </c>
      <c r="K999">
        <f t="shared" ref="K999:K1000" si="537">380/12</f>
        <v>31.666666666666668</v>
      </c>
      <c r="M999">
        <f t="shared" ref="M999:M1002" si="538">+K999*G999</f>
        <v>31.666666666666668</v>
      </c>
      <c r="N999">
        <f t="shared" ref="N999:N1002" si="539">+I999-M999</f>
        <v>28.333333333333332</v>
      </c>
    </row>
    <row r="1000" spans="1:14" x14ac:dyDescent="0.25">
      <c r="A1000">
        <v>32</v>
      </c>
      <c r="B1000" s="1">
        <v>43893</v>
      </c>
      <c r="C1000" t="s">
        <v>276</v>
      </c>
      <c r="D1000" t="s">
        <v>25</v>
      </c>
      <c r="F1000" t="s">
        <v>71</v>
      </c>
      <c r="G1000">
        <v>1</v>
      </c>
      <c r="H1000">
        <v>60</v>
      </c>
      <c r="I1000">
        <f t="shared" si="501"/>
        <v>60</v>
      </c>
      <c r="J1000" t="s">
        <v>165</v>
      </c>
      <c r="K1000">
        <f t="shared" si="537"/>
        <v>31.666666666666668</v>
      </c>
      <c r="M1000">
        <f t="shared" si="538"/>
        <v>31.666666666666668</v>
      </c>
      <c r="N1000">
        <f t="shared" si="539"/>
        <v>28.333333333333332</v>
      </c>
    </row>
    <row r="1001" spans="1:14" x14ac:dyDescent="0.25">
      <c r="A1001">
        <v>33</v>
      </c>
      <c r="B1001" s="1">
        <v>43893</v>
      </c>
      <c r="C1001" t="s">
        <v>276</v>
      </c>
      <c r="D1001" t="s">
        <v>15</v>
      </c>
      <c r="F1001" t="s">
        <v>34</v>
      </c>
      <c r="G1001">
        <v>3</v>
      </c>
      <c r="H1001">
        <v>230</v>
      </c>
      <c r="I1001">
        <f t="shared" si="501"/>
        <v>690</v>
      </c>
      <c r="J1001" t="s">
        <v>163</v>
      </c>
      <c r="K1001">
        <v>196</v>
      </c>
      <c r="M1001">
        <f t="shared" si="538"/>
        <v>588</v>
      </c>
      <c r="N1001">
        <f t="shared" si="539"/>
        <v>102</v>
      </c>
    </row>
    <row r="1002" spans="1:14" x14ac:dyDescent="0.25">
      <c r="A1002">
        <v>34</v>
      </c>
      <c r="B1002" s="1">
        <v>43893</v>
      </c>
      <c r="C1002" t="s">
        <v>276</v>
      </c>
      <c r="D1002" t="s">
        <v>56</v>
      </c>
      <c r="F1002" t="s">
        <v>267</v>
      </c>
      <c r="G1002">
        <v>1</v>
      </c>
      <c r="H1002">
        <v>170</v>
      </c>
      <c r="I1002">
        <f t="shared" si="501"/>
        <v>170</v>
      </c>
      <c r="J1002" t="s">
        <v>163</v>
      </c>
      <c r="K1002">
        <v>132</v>
      </c>
      <c r="M1002">
        <f t="shared" si="538"/>
        <v>132</v>
      </c>
      <c r="N1002">
        <f t="shared" si="539"/>
        <v>38</v>
      </c>
    </row>
    <row r="1003" spans="1:14" x14ac:dyDescent="0.25">
      <c r="A1003">
        <v>35</v>
      </c>
      <c r="B1003" s="1">
        <v>43893</v>
      </c>
      <c r="C1003" t="s">
        <v>276</v>
      </c>
      <c r="D1003" t="s">
        <v>44</v>
      </c>
      <c r="F1003" t="s">
        <v>138</v>
      </c>
      <c r="G1003">
        <v>1</v>
      </c>
      <c r="H1003">
        <v>35</v>
      </c>
      <c r="I1003">
        <f t="shared" si="501"/>
        <v>35</v>
      </c>
      <c r="J1003" t="s">
        <v>166</v>
      </c>
      <c r="K1003">
        <v>26</v>
      </c>
      <c r="M1003">
        <f t="shared" ref="M1003:M1004" si="540">+K1003*G1003</f>
        <v>26</v>
      </c>
      <c r="N1003">
        <f t="shared" ref="N1003:N1004" si="541">+I1003-M1003</f>
        <v>9</v>
      </c>
    </row>
    <row r="1004" spans="1:14" x14ac:dyDescent="0.25">
      <c r="A1004">
        <v>36</v>
      </c>
      <c r="B1004" s="1">
        <v>43893</v>
      </c>
      <c r="C1004" t="s">
        <v>276</v>
      </c>
      <c r="D1004" t="s">
        <v>15</v>
      </c>
      <c r="F1004" t="s">
        <v>29</v>
      </c>
      <c r="G1004">
        <v>3</v>
      </c>
      <c r="H1004">
        <v>230</v>
      </c>
      <c r="I1004">
        <f t="shared" si="501"/>
        <v>690</v>
      </c>
      <c r="J1004" t="s">
        <v>163</v>
      </c>
      <c r="K1004">
        <v>196</v>
      </c>
      <c r="M1004">
        <f t="shared" si="540"/>
        <v>588</v>
      </c>
      <c r="N1004">
        <f t="shared" si="541"/>
        <v>102</v>
      </c>
    </row>
    <row r="1005" spans="1:14" x14ac:dyDescent="0.25">
      <c r="A1005">
        <v>37</v>
      </c>
      <c r="B1005" s="1">
        <v>43893</v>
      </c>
      <c r="C1005" t="s">
        <v>276</v>
      </c>
      <c r="D1005" t="s">
        <v>55</v>
      </c>
      <c r="F1005" t="s">
        <v>89</v>
      </c>
      <c r="G1005">
        <v>6.5</v>
      </c>
      <c r="H1005">
        <v>300</v>
      </c>
      <c r="I1005">
        <f t="shared" si="501"/>
        <v>1950</v>
      </c>
      <c r="J1005" t="s">
        <v>13</v>
      </c>
      <c r="K1005">
        <v>280</v>
      </c>
      <c r="M1005">
        <f t="shared" ref="M1005:M1006" si="542">+K1005*G1005</f>
        <v>1820</v>
      </c>
      <c r="N1005">
        <f t="shared" ref="N1005:N1006" si="543">+I1005-M1005</f>
        <v>130</v>
      </c>
    </row>
    <row r="1006" spans="1:14" x14ac:dyDescent="0.25">
      <c r="A1006">
        <v>38</v>
      </c>
      <c r="B1006" s="1">
        <v>43893</v>
      </c>
      <c r="C1006" t="s">
        <v>276</v>
      </c>
      <c r="D1006" t="s">
        <v>55</v>
      </c>
      <c r="F1006" t="s">
        <v>97</v>
      </c>
      <c r="G1006">
        <v>10.5</v>
      </c>
      <c r="H1006">
        <v>280</v>
      </c>
      <c r="I1006">
        <f t="shared" si="501"/>
        <v>2940</v>
      </c>
      <c r="J1006" t="s">
        <v>13</v>
      </c>
      <c r="K1006">
        <v>230</v>
      </c>
      <c r="M1006">
        <f t="shared" si="542"/>
        <v>2415</v>
      </c>
      <c r="N1006">
        <f t="shared" si="543"/>
        <v>525</v>
      </c>
    </row>
    <row r="1007" spans="1:14" x14ac:dyDescent="0.25">
      <c r="A1007">
        <v>39</v>
      </c>
      <c r="B1007" s="1">
        <v>43893</v>
      </c>
      <c r="C1007" t="s">
        <v>276</v>
      </c>
      <c r="D1007" t="s">
        <v>15</v>
      </c>
      <c r="F1007" t="s">
        <v>271</v>
      </c>
      <c r="G1007">
        <v>2</v>
      </c>
      <c r="H1007">
        <v>300</v>
      </c>
      <c r="I1007">
        <f t="shared" si="501"/>
        <v>600</v>
      </c>
      <c r="J1007" t="s">
        <v>167</v>
      </c>
      <c r="K1007">
        <v>268</v>
      </c>
    </row>
    <row r="1008" spans="1:14" x14ac:dyDescent="0.25">
      <c r="A1008">
        <v>40</v>
      </c>
      <c r="B1008" s="1">
        <v>43893</v>
      </c>
      <c r="C1008" t="s">
        <v>276</v>
      </c>
      <c r="D1008" t="s">
        <v>44</v>
      </c>
      <c r="F1008" t="s">
        <v>138</v>
      </c>
      <c r="G1008">
        <v>1</v>
      </c>
      <c r="H1008">
        <v>35</v>
      </c>
      <c r="I1008">
        <f t="shared" si="501"/>
        <v>35</v>
      </c>
      <c r="J1008" t="s">
        <v>166</v>
      </c>
      <c r="K1008">
        <v>26</v>
      </c>
      <c r="M1008">
        <f t="shared" ref="M1008:M1009" si="544">+K1008*G1008</f>
        <v>26</v>
      </c>
      <c r="N1008">
        <f t="shared" ref="N1008:N1009" si="545">+I1008-M1008</f>
        <v>9</v>
      </c>
    </row>
    <row r="1009" spans="1:14" x14ac:dyDescent="0.25">
      <c r="A1009">
        <v>41</v>
      </c>
      <c r="B1009" s="1">
        <v>43893</v>
      </c>
      <c r="C1009" t="s">
        <v>276</v>
      </c>
      <c r="D1009" t="s">
        <v>25</v>
      </c>
      <c r="F1009" t="s">
        <v>172</v>
      </c>
      <c r="G1009">
        <v>1</v>
      </c>
      <c r="H1009">
        <v>100</v>
      </c>
      <c r="I1009">
        <f t="shared" si="501"/>
        <v>100</v>
      </c>
      <c r="J1009" t="s">
        <v>163</v>
      </c>
      <c r="K1009">
        <v>76</v>
      </c>
      <c r="M1009">
        <f t="shared" si="544"/>
        <v>76</v>
      </c>
      <c r="N1009">
        <f t="shared" si="545"/>
        <v>24</v>
      </c>
    </row>
    <row r="1010" spans="1:14" x14ac:dyDescent="0.25">
      <c r="A1010">
        <v>42</v>
      </c>
      <c r="B1010" s="1">
        <v>43893</v>
      </c>
      <c r="C1010" t="s">
        <v>276</v>
      </c>
      <c r="D1010" t="s">
        <v>25</v>
      </c>
      <c r="F1010" t="s">
        <v>137</v>
      </c>
      <c r="G1010">
        <v>3</v>
      </c>
      <c r="H1010">
        <v>60</v>
      </c>
      <c r="I1010">
        <f t="shared" si="501"/>
        <v>180</v>
      </c>
      <c r="J1010" t="s">
        <v>165</v>
      </c>
      <c r="K1010">
        <f t="shared" ref="K1010" si="546">380/12</f>
        <v>31.666666666666668</v>
      </c>
      <c r="M1010">
        <f t="shared" ref="M1010:M1013" si="547">+K1010*G1010</f>
        <v>95</v>
      </c>
      <c r="N1010">
        <f t="shared" ref="N1010:N1013" si="548">+I1010-M1010</f>
        <v>85</v>
      </c>
    </row>
    <row r="1011" spans="1:14" x14ac:dyDescent="0.25">
      <c r="A1011">
        <v>43</v>
      </c>
      <c r="B1011" s="1">
        <v>43893</v>
      </c>
      <c r="C1011" t="s">
        <v>276</v>
      </c>
      <c r="D1011" t="s">
        <v>15</v>
      </c>
      <c r="F1011" t="s">
        <v>20</v>
      </c>
      <c r="G1011">
        <v>18</v>
      </c>
      <c r="H1011">
        <v>240</v>
      </c>
      <c r="I1011">
        <f t="shared" si="501"/>
        <v>4320</v>
      </c>
      <c r="J1011" t="s">
        <v>163</v>
      </c>
      <c r="K1011">
        <v>216</v>
      </c>
      <c r="M1011">
        <f t="shared" si="547"/>
        <v>3888</v>
      </c>
      <c r="N1011">
        <f t="shared" si="548"/>
        <v>432</v>
      </c>
    </row>
    <row r="1012" spans="1:14" x14ac:dyDescent="0.25">
      <c r="A1012">
        <v>44</v>
      </c>
      <c r="B1012" s="1">
        <v>43893</v>
      </c>
      <c r="C1012" t="s">
        <v>276</v>
      </c>
      <c r="D1012" t="s">
        <v>15</v>
      </c>
      <c r="F1012" t="s">
        <v>76</v>
      </c>
      <c r="G1012">
        <v>5</v>
      </c>
      <c r="H1012">
        <v>230</v>
      </c>
      <c r="I1012">
        <f t="shared" si="501"/>
        <v>1150</v>
      </c>
      <c r="J1012" t="s">
        <v>163</v>
      </c>
      <c r="K1012">
        <v>196</v>
      </c>
      <c r="M1012">
        <f t="shared" si="547"/>
        <v>980</v>
      </c>
      <c r="N1012">
        <f t="shared" si="548"/>
        <v>170</v>
      </c>
    </row>
    <row r="1013" spans="1:14" x14ac:dyDescent="0.25">
      <c r="A1013">
        <v>45</v>
      </c>
      <c r="B1013" s="1">
        <v>43893</v>
      </c>
      <c r="C1013" t="s">
        <v>276</v>
      </c>
      <c r="D1013" t="s">
        <v>15</v>
      </c>
      <c r="F1013" t="s">
        <v>234</v>
      </c>
      <c r="G1013">
        <v>1.54</v>
      </c>
      <c r="H1013">
        <v>240</v>
      </c>
      <c r="I1013">
        <f t="shared" si="501"/>
        <v>369.6</v>
      </c>
      <c r="J1013" t="s">
        <v>163</v>
      </c>
      <c r="K1013">
        <v>215</v>
      </c>
      <c r="M1013">
        <f t="shared" si="547"/>
        <v>331.1</v>
      </c>
      <c r="N1013">
        <f t="shared" si="548"/>
        <v>38.5</v>
      </c>
    </row>
    <row r="1014" spans="1:14" x14ac:dyDescent="0.25">
      <c r="A1014">
        <v>46</v>
      </c>
      <c r="B1014" s="1">
        <v>43893</v>
      </c>
      <c r="C1014" t="s">
        <v>276</v>
      </c>
      <c r="D1014" t="s">
        <v>15</v>
      </c>
      <c r="F1014" t="s">
        <v>17</v>
      </c>
      <c r="G1014">
        <f>2/4.85</f>
        <v>0.41237113402061859</v>
      </c>
      <c r="H1014">
        <v>360</v>
      </c>
      <c r="I1014">
        <f t="shared" si="501"/>
        <v>148.45360824742269</v>
      </c>
      <c r="J1014" t="s">
        <v>13</v>
      </c>
      <c r="K1014">
        <v>330</v>
      </c>
      <c r="M1014">
        <f t="shared" ref="M1014:M1015" si="549">+K1014*G1014</f>
        <v>136.08247422680412</v>
      </c>
      <c r="N1014">
        <f t="shared" ref="N1014:N1015" si="550">+I1014-M1014</f>
        <v>12.37113402061857</v>
      </c>
    </row>
    <row r="1015" spans="1:14" x14ac:dyDescent="0.25">
      <c r="A1015">
        <v>47</v>
      </c>
      <c r="B1015" s="1">
        <v>43893</v>
      </c>
      <c r="C1015" t="s">
        <v>276</v>
      </c>
      <c r="D1015" t="s">
        <v>15</v>
      </c>
      <c r="F1015" t="s">
        <v>29</v>
      </c>
      <c r="G1015">
        <v>1</v>
      </c>
      <c r="H1015">
        <v>230</v>
      </c>
      <c r="I1015">
        <f t="shared" si="501"/>
        <v>230</v>
      </c>
      <c r="J1015" t="s">
        <v>163</v>
      </c>
      <c r="K1015">
        <v>196</v>
      </c>
      <c r="M1015">
        <f t="shared" si="549"/>
        <v>196</v>
      </c>
      <c r="N1015">
        <f t="shared" si="550"/>
        <v>34</v>
      </c>
    </row>
    <row r="1016" spans="1:14" x14ac:dyDescent="0.25">
      <c r="A1016">
        <v>48</v>
      </c>
      <c r="B1016" s="1">
        <v>43893</v>
      </c>
      <c r="C1016" t="s">
        <v>276</v>
      </c>
      <c r="D1016" t="s">
        <v>44</v>
      </c>
      <c r="F1016" t="s">
        <v>138</v>
      </c>
      <c r="G1016">
        <v>1</v>
      </c>
      <c r="H1016">
        <v>35</v>
      </c>
      <c r="I1016">
        <f t="shared" si="501"/>
        <v>35</v>
      </c>
      <c r="J1016" t="s">
        <v>166</v>
      </c>
      <c r="K1016">
        <v>26</v>
      </c>
      <c r="M1016">
        <f t="shared" ref="M1016" si="551">+K1016*G1016</f>
        <v>26</v>
      </c>
      <c r="N1016">
        <f t="shared" ref="N1016" si="552">+I1016-M1016</f>
        <v>9</v>
      </c>
    </row>
    <row r="1017" spans="1:14" x14ac:dyDescent="0.25">
      <c r="A1017">
        <v>49</v>
      </c>
      <c r="B1017" s="1">
        <v>43893</v>
      </c>
      <c r="C1017" t="s">
        <v>276</v>
      </c>
      <c r="D1017" t="s">
        <v>55</v>
      </c>
      <c r="F1017" t="s">
        <v>149</v>
      </c>
      <c r="G1017">
        <v>5.5</v>
      </c>
      <c r="H1017">
        <v>300</v>
      </c>
      <c r="I1017">
        <f t="shared" si="501"/>
        <v>1650</v>
      </c>
      <c r="J1017" t="s">
        <v>13</v>
      </c>
      <c r="K1017">
        <v>280</v>
      </c>
      <c r="M1017">
        <f t="shared" ref="M1017" si="553">+K1017*G1017</f>
        <v>1540</v>
      </c>
      <c r="N1017">
        <f t="shared" ref="N1017" si="554">+I1017-M1017</f>
        <v>110</v>
      </c>
    </row>
    <row r="1018" spans="1:14" x14ac:dyDescent="0.25">
      <c r="A1018">
        <v>50</v>
      </c>
      <c r="B1018" s="1">
        <v>43893</v>
      </c>
      <c r="C1018" t="s">
        <v>276</v>
      </c>
      <c r="D1018" t="s">
        <v>25</v>
      </c>
      <c r="F1018" t="s">
        <v>58</v>
      </c>
      <c r="G1018">
        <v>2</v>
      </c>
      <c r="H1018">
        <v>60</v>
      </c>
      <c r="I1018">
        <f t="shared" si="501"/>
        <v>120</v>
      </c>
      <c r="J1018" t="s">
        <v>165</v>
      </c>
      <c r="K1018">
        <f t="shared" ref="K1018" si="555">380/12</f>
        <v>31.666666666666668</v>
      </c>
      <c r="M1018">
        <f t="shared" ref="M1018:M1019" si="556">+K1018*G1018</f>
        <v>63.333333333333336</v>
      </c>
      <c r="N1018">
        <f t="shared" ref="N1018:N1019" si="557">+I1018-M1018</f>
        <v>56.666666666666664</v>
      </c>
    </row>
    <row r="1019" spans="1:14" x14ac:dyDescent="0.25">
      <c r="A1019">
        <v>51</v>
      </c>
      <c r="B1019" s="1">
        <v>43893</v>
      </c>
      <c r="C1019" t="s">
        <v>276</v>
      </c>
      <c r="D1019" t="s">
        <v>15</v>
      </c>
      <c r="F1019" t="s">
        <v>29</v>
      </c>
      <c r="G1019">
        <v>22</v>
      </c>
      <c r="H1019">
        <v>230</v>
      </c>
      <c r="I1019">
        <f t="shared" ref="I1019:I1082" si="558">+G1019*H1019</f>
        <v>5060</v>
      </c>
      <c r="J1019" t="s">
        <v>163</v>
      </c>
      <c r="K1019">
        <v>196</v>
      </c>
      <c r="M1019">
        <f t="shared" si="556"/>
        <v>4312</v>
      </c>
      <c r="N1019">
        <f t="shared" si="557"/>
        <v>748</v>
      </c>
    </row>
    <row r="1020" spans="1:14" x14ac:dyDescent="0.25">
      <c r="A1020">
        <v>52</v>
      </c>
      <c r="B1020" s="1">
        <v>43893</v>
      </c>
      <c r="C1020" t="s">
        <v>276</v>
      </c>
      <c r="D1020" t="s">
        <v>25</v>
      </c>
      <c r="F1020" t="s">
        <v>127</v>
      </c>
      <c r="G1020">
        <v>3</v>
      </c>
      <c r="H1020">
        <v>60</v>
      </c>
      <c r="I1020">
        <f t="shared" si="558"/>
        <v>180</v>
      </c>
      <c r="J1020" t="s">
        <v>165</v>
      </c>
      <c r="K1020">
        <f t="shared" ref="K1020" si="559">380/12</f>
        <v>31.666666666666668</v>
      </c>
      <c r="M1020">
        <f t="shared" ref="M1020:M1021" si="560">+K1020*G1020</f>
        <v>95</v>
      </c>
      <c r="N1020">
        <f t="shared" ref="N1020:N1021" si="561">+I1020-M1020</f>
        <v>85</v>
      </c>
    </row>
    <row r="1021" spans="1:14" x14ac:dyDescent="0.25">
      <c r="A1021">
        <v>53</v>
      </c>
      <c r="B1021" s="1">
        <v>43894</v>
      </c>
      <c r="C1021" t="s">
        <v>276</v>
      </c>
      <c r="D1021" t="s">
        <v>56</v>
      </c>
      <c r="F1021" t="s">
        <v>267</v>
      </c>
      <c r="G1021">
        <v>7</v>
      </c>
      <c r="H1021">
        <v>170</v>
      </c>
      <c r="I1021">
        <f t="shared" si="558"/>
        <v>1190</v>
      </c>
      <c r="J1021" t="s">
        <v>163</v>
      </c>
      <c r="K1021">
        <v>132</v>
      </c>
      <c r="M1021">
        <f t="shared" si="560"/>
        <v>924</v>
      </c>
      <c r="N1021">
        <f t="shared" si="561"/>
        <v>266</v>
      </c>
    </row>
    <row r="1022" spans="1:14" x14ac:dyDescent="0.25">
      <c r="A1022">
        <v>54</v>
      </c>
      <c r="B1022" s="1">
        <v>43894</v>
      </c>
      <c r="C1022" t="s">
        <v>276</v>
      </c>
      <c r="D1022" t="s">
        <v>44</v>
      </c>
      <c r="F1022" t="s">
        <v>77</v>
      </c>
      <c r="G1022">
        <v>1</v>
      </c>
      <c r="H1022">
        <v>35</v>
      </c>
      <c r="I1022">
        <f t="shared" si="558"/>
        <v>35</v>
      </c>
      <c r="J1022" t="s">
        <v>166</v>
      </c>
      <c r="K1022">
        <v>26</v>
      </c>
      <c r="M1022">
        <f t="shared" ref="M1022" si="562">+K1022*G1022</f>
        <v>26</v>
      </c>
      <c r="N1022">
        <f t="shared" ref="N1022" si="563">+I1022-M1022</f>
        <v>9</v>
      </c>
    </row>
    <row r="1023" spans="1:14" x14ac:dyDescent="0.25">
      <c r="A1023">
        <v>55</v>
      </c>
      <c r="B1023" s="1">
        <v>43894</v>
      </c>
      <c r="C1023" t="s">
        <v>276</v>
      </c>
      <c r="D1023" t="s">
        <v>25</v>
      </c>
      <c r="F1023" t="s">
        <v>147</v>
      </c>
      <c r="G1023">
        <v>2</v>
      </c>
      <c r="H1023">
        <v>60</v>
      </c>
      <c r="I1023">
        <f t="shared" si="558"/>
        <v>120</v>
      </c>
      <c r="J1023" t="s">
        <v>165</v>
      </c>
      <c r="K1023">
        <f t="shared" ref="K1023" si="564">380/12</f>
        <v>31.666666666666668</v>
      </c>
      <c r="M1023">
        <f t="shared" ref="M1023" si="565">+K1023*G1023</f>
        <v>63.333333333333336</v>
      </c>
      <c r="N1023">
        <f t="shared" ref="N1023" si="566">+I1023-M1023</f>
        <v>56.666666666666664</v>
      </c>
    </row>
    <row r="1024" spans="1:14" x14ac:dyDescent="0.25">
      <c r="A1024">
        <v>56</v>
      </c>
      <c r="B1024" s="1">
        <v>43894</v>
      </c>
      <c r="C1024" t="s">
        <v>276</v>
      </c>
      <c r="D1024" t="s">
        <v>26</v>
      </c>
      <c r="F1024" t="s">
        <v>47</v>
      </c>
      <c r="G1024">
        <v>7</v>
      </c>
      <c r="H1024">
        <v>380</v>
      </c>
      <c r="I1024">
        <f t="shared" si="558"/>
        <v>2660</v>
      </c>
      <c r="J1024" t="s">
        <v>99</v>
      </c>
      <c r="K1024">
        <v>302</v>
      </c>
      <c r="M1024">
        <f t="shared" ref="M1024:M1029" si="567">+K1024*G1024</f>
        <v>2114</v>
      </c>
      <c r="N1024">
        <f t="shared" ref="N1024:N1028" si="568">+I1024-M1024</f>
        <v>546</v>
      </c>
    </row>
    <row r="1025" spans="1:14" x14ac:dyDescent="0.25">
      <c r="A1025">
        <v>57</v>
      </c>
      <c r="B1025" s="1">
        <v>43894</v>
      </c>
      <c r="C1025" t="s">
        <v>276</v>
      </c>
      <c r="D1025" t="s">
        <v>25</v>
      </c>
      <c r="F1025" t="s">
        <v>128</v>
      </c>
      <c r="G1025">
        <v>1</v>
      </c>
      <c r="H1025">
        <v>60</v>
      </c>
      <c r="I1025">
        <f t="shared" si="558"/>
        <v>60</v>
      </c>
      <c r="J1025" t="s">
        <v>165</v>
      </c>
      <c r="K1025">
        <f t="shared" ref="K1025" si="569">380/12</f>
        <v>31.666666666666668</v>
      </c>
      <c r="M1025">
        <f t="shared" si="567"/>
        <v>31.666666666666668</v>
      </c>
      <c r="N1025">
        <f t="shared" si="568"/>
        <v>28.333333333333332</v>
      </c>
    </row>
    <row r="1026" spans="1:14" x14ac:dyDescent="0.25">
      <c r="A1026">
        <v>58</v>
      </c>
      <c r="B1026" s="1">
        <v>43894</v>
      </c>
      <c r="C1026" t="s">
        <v>276</v>
      </c>
      <c r="D1026" t="s">
        <v>15</v>
      </c>
      <c r="F1026" t="s">
        <v>76</v>
      </c>
      <c r="G1026">
        <f>24/8.3</f>
        <v>2.8915662650602405</v>
      </c>
      <c r="H1026">
        <v>230</v>
      </c>
      <c r="I1026">
        <f t="shared" si="558"/>
        <v>665.06024096385534</v>
      </c>
      <c r="J1026" t="s">
        <v>163</v>
      </c>
      <c r="K1026">
        <v>196</v>
      </c>
      <c r="M1026">
        <f t="shared" si="567"/>
        <v>566.74698795180711</v>
      </c>
      <c r="N1026">
        <f t="shared" si="568"/>
        <v>98.313253012048222</v>
      </c>
    </row>
    <row r="1027" spans="1:14" x14ac:dyDescent="0.25">
      <c r="A1027">
        <v>59</v>
      </c>
      <c r="B1027" s="1">
        <v>43894</v>
      </c>
      <c r="C1027" t="s">
        <v>276</v>
      </c>
      <c r="D1027" t="s">
        <v>56</v>
      </c>
      <c r="F1027" t="s">
        <v>267</v>
      </c>
      <c r="G1027">
        <v>1</v>
      </c>
      <c r="H1027">
        <v>170</v>
      </c>
      <c r="I1027">
        <f t="shared" si="558"/>
        <v>170</v>
      </c>
      <c r="J1027" t="s">
        <v>163</v>
      </c>
      <c r="K1027">
        <v>132</v>
      </c>
      <c r="M1027">
        <f t="shared" si="567"/>
        <v>132</v>
      </c>
      <c r="N1027">
        <f t="shared" si="568"/>
        <v>38</v>
      </c>
    </row>
    <row r="1028" spans="1:14" x14ac:dyDescent="0.25">
      <c r="A1028">
        <v>60</v>
      </c>
      <c r="B1028" s="1">
        <v>43894</v>
      </c>
      <c r="C1028" t="s">
        <v>276</v>
      </c>
      <c r="D1028" t="s">
        <v>15</v>
      </c>
      <c r="F1028" t="s">
        <v>54</v>
      </c>
      <c r="G1028">
        <v>2.31</v>
      </c>
      <c r="H1028">
        <v>235</v>
      </c>
      <c r="I1028">
        <f t="shared" si="558"/>
        <v>542.85</v>
      </c>
      <c r="J1028" t="s">
        <v>163</v>
      </c>
      <c r="K1028">
        <v>214</v>
      </c>
      <c r="M1028">
        <f t="shared" si="567"/>
        <v>494.34000000000003</v>
      </c>
      <c r="N1028">
        <f t="shared" si="568"/>
        <v>48.509999999999991</v>
      </c>
    </row>
    <row r="1029" spans="1:14" x14ac:dyDescent="0.25">
      <c r="A1029">
        <v>61</v>
      </c>
      <c r="B1029" s="1">
        <v>43894</v>
      </c>
      <c r="C1029" t="s">
        <v>276</v>
      </c>
      <c r="D1029" t="s">
        <v>15</v>
      </c>
      <c r="F1029" t="s">
        <v>272</v>
      </c>
      <c r="G1029">
        <v>4</v>
      </c>
      <c r="H1029">
        <v>360</v>
      </c>
      <c r="I1029">
        <f t="shared" si="558"/>
        <v>1440</v>
      </c>
      <c r="J1029" t="s">
        <v>167</v>
      </c>
      <c r="K1029">
        <v>390</v>
      </c>
      <c r="M1029">
        <f t="shared" si="567"/>
        <v>1560</v>
      </c>
    </row>
    <row r="1030" spans="1:14" x14ac:dyDescent="0.25">
      <c r="A1030">
        <v>62</v>
      </c>
      <c r="B1030" s="1">
        <v>43894</v>
      </c>
      <c r="C1030" t="s">
        <v>276</v>
      </c>
      <c r="D1030" t="s">
        <v>44</v>
      </c>
      <c r="F1030" t="s">
        <v>226</v>
      </c>
      <c r="G1030">
        <v>1</v>
      </c>
      <c r="H1030">
        <v>35</v>
      </c>
      <c r="I1030">
        <f t="shared" si="558"/>
        <v>35</v>
      </c>
      <c r="J1030" t="s">
        <v>166</v>
      </c>
      <c r="K1030">
        <v>26</v>
      </c>
      <c r="M1030">
        <f t="shared" ref="M1030:M1031" si="570">+K1030*G1030</f>
        <v>26</v>
      </c>
      <c r="N1030">
        <f t="shared" ref="N1030:N1031" si="571">+I1030-M1030</f>
        <v>9</v>
      </c>
    </row>
    <row r="1031" spans="1:14" x14ac:dyDescent="0.25">
      <c r="A1031">
        <v>63</v>
      </c>
      <c r="B1031" s="1">
        <v>43894</v>
      </c>
      <c r="C1031" t="s">
        <v>276</v>
      </c>
      <c r="D1031" t="s">
        <v>56</v>
      </c>
      <c r="F1031" t="s">
        <v>267</v>
      </c>
      <c r="G1031">
        <v>2</v>
      </c>
      <c r="H1031">
        <v>170</v>
      </c>
      <c r="I1031">
        <f t="shared" si="558"/>
        <v>340</v>
      </c>
      <c r="J1031" t="s">
        <v>163</v>
      </c>
      <c r="K1031">
        <v>132</v>
      </c>
      <c r="M1031">
        <f t="shared" si="570"/>
        <v>264</v>
      </c>
      <c r="N1031">
        <f t="shared" si="571"/>
        <v>76</v>
      </c>
    </row>
    <row r="1032" spans="1:14" x14ac:dyDescent="0.25">
      <c r="A1032">
        <v>64</v>
      </c>
      <c r="B1032" s="1">
        <v>43894</v>
      </c>
      <c r="C1032" t="s">
        <v>276</v>
      </c>
      <c r="D1032" t="s">
        <v>25</v>
      </c>
      <c r="F1032" t="s">
        <v>128</v>
      </c>
      <c r="G1032">
        <v>1</v>
      </c>
      <c r="H1032">
        <v>60</v>
      </c>
      <c r="I1032">
        <f t="shared" si="558"/>
        <v>60</v>
      </c>
      <c r="J1032" t="s">
        <v>165</v>
      </c>
      <c r="K1032">
        <f t="shared" ref="K1032:K1033" si="572">380/12</f>
        <v>31.666666666666668</v>
      </c>
      <c r="M1032">
        <f t="shared" ref="M1032:M1034" si="573">+K1032*G1032</f>
        <v>31.666666666666668</v>
      </c>
      <c r="N1032">
        <f t="shared" ref="N1032:N1034" si="574">+I1032-M1032</f>
        <v>28.333333333333332</v>
      </c>
    </row>
    <row r="1033" spans="1:14" x14ac:dyDescent="0.25">
      <c r="A1033">
        <v>65</v>
      </c>
      <c r="B1033" s="1">
        <v>43894</v>
      </c>
      <c r="C1033" t="s">
        <v>276</v>
      </c>
      <c r="D1033" t="s">
        <v>25</v>
      </c>
      <c r="F1033" t="s">
        <v>225</v>
      </c>
      <c r="G1033">
        <v>2</v>
      </c>
      <c r="H1033">
        <v>60</v>
      </c>
      <c r="I1033">
        <f t="shared" si="558"/>
        <v>120</v>
      </c>
      <c r="J1033" t="s">
        <v>165</v>
      </c>
      <c r="K1033">
        <f t="shared" si="572"/>
        <v>31.666666666666668</v>
      </c>
      <c r="M1033">
        <f t="shared" si="573"/>
        <v>63.333333333333336</v>
      </c>
      <c r="N1033">
        <f t="shared" si="574"/>
        <v>56.666666666666664</v>
      </c>
    </row>
    <row r="1034" spans="1:14" x14ac:dyDescent="0.25">
      <c r="A1034">
        <v>66</v>
      </c>
      <c r="B1034" s="1">
        <v>43894</v>
      </c>
      <c r="C1034" t="s">
        <v>276</v>
      </c>
      <c r="D1034" t="s">
        <v>15</v>
      </c>
      <c r="F1034" t="s">
        <v>29</v>
      </c>
      <c r="G1034">
        <v>15</v>
      </c>
      <c r="H1034">
        <v>230</v>
      </c>
      <c r="I1034">
        <f t="shared" si="558"/>
        <v>3450</v>
      </c>
      <c r="J1034" t="s">
        <v>163</v>
      </c>
      <c r="K1034">
        <v>196</v>
      </c>
      <c r="M1034">
        <f t="shared" si="573"/>
        <v>2940</v>
      </c>
      <c r="N1034">
        <f t="shared" si="574"/>
        <v>510</v>
      </c>
    </row>
    <row r="1035" spans="1:14" x14ac:dyDescent="0.25">
      <c r="A1035">
        <v>67</v>
      </c>
      <c r="B1035" s="1">
        <v>43894</v>
      </c>
      <c r="C1035" t="s">
        <v>276</v>
      </c>
      <c r="D1035" t="s">
        <v>44</v>
      </c>
      <c r="F1035" t="s">
        <v>138</v>
      </c>
      <c r="G1035">
        <v>1</v>
      </c>
      <c r="H1035">
        <v>35</v>
      </c>
      <c r="I1035">
        <f t="shared" si="558"/>
        <v>35</v>
      </c>
      <c r="J1035" t="s">
        <v>166</v>
      </c>
      <c r="K1035">
        <v>26</v>
      </c>
      <c r="M1035">
        <f t="shared" ref="M1035" si="575">+K1035*G1035</f>
        <v>26</v>
      </c>
      <c r="N1035">
        <f t="shared" ref="N1035" si="576">+I1035-M1035</f>
        <v>9</v>
      </c>
    </row>
    <row r="1036" spans="1:14" x14ac:dyDescent="0.25">
      <c r="A1036">
        <v>68</v>
      </c>
      <c r="B1036" s="1">
        <v>43894</v>
      </c>
      <c r="C1036" t="s">
        <v>276</v>
      </c>
      <c r="D1036" t="s">
        <v>56</v>
      </c>
      <c r="F1036" t="s">
        <v>38</v>
      </c>
      <c r="G1036">
        <v>6</v>
      </c>
      <c r="H1036">
        <v>110</v>
      </c>
      <c r="I1036">
        <f t="shared" si="558"/>
        <v>660</v>
      </c>
      <c r="J1036" t="s">
        <v>165</v>
      </c>
      <c r="K1036">
        <v>80</v>
      </c>
      <c r="M1036">
        <f t="shared" ref="M1036:M1038" si="577">+K1036*G1036</f>
        <v>480</v>
      </c>
      <c r="N1036">
        <f t="shared" ref="N1036:N1038" si="578">+I1036-M1036</f>
        <v>180</v>
      </c>
    </row>
    <row r="1037" spans="1:14" x14ac:dyDescent="0.25">
      <c r="A1037">
        <v>69</v>
      </c>
      <c r="B1037" s="1">
        <v>43894</v>
      </c>
      <c r="C1037" t="s">
        <v>276</v>
      </c>
      <c r="D1037" t="s">
        <v>25</v>
      </c>
      <c r="F1037" t="s">
        <v>148</v>
      </c>
      <c r="G1037">
        <v>1</v>
      </c>
      <c r="H1037">
        <v>60</v>
      </c>
      <c r="I1037">
        <f t="shared" si="558"/>
        <v>60</v>
      </c>
      <c r="J1037" t="s">
        <v>165</v>
      </c>
      <c r="K1037">
        <f t="shared" ref="K1037" si="579">380/12</f>
        <v>31.666666666666668</v>
      </c>
      <c r="M1037">
        <f t="shared" si="577"/>
        <v>31.666666666666668</v>
      </c>
      <c r="N1037">
        <f t="shared" si="578"/>
        <v>28.333333333333332</v>
      </c>
    </row>
    <row r="1038" spans="1:14" x14ac:dyDescent="0.25">
      <c r="A1038">
        <v>70</v>
      </c>
      <c r="B1038" s="1">
        <v>43894</v>
      </c>
      <c r="C1038" t="s">
        <v>276</v>
      </c>
      <c r="D1038" t="s">
        <v>15</v>
      </c>
      <c r="F1038" t="s">
        <v>34</v>
      </c>
      <c r="G1038">
        <f>13/16</f>
        <v>0.8125</v>
      </c>
      <c r="H1038">
        <v>280</v>
      </c>
      <c r="I1038">
        <f t="shared" si="558"/>
        <v>227.5</v>
      </c>
      <c r="J1038" t="s">
        <v>163</v>
      </c>
      <c r="K1038">
        <v>196</v>
      </c>
      <c r="M1038">
        <f t="shared" si="577"/>
        <v>159.25</v>
      </c>
      <c r="N1038">
        <f t="shared" si="578"/>
        <v>68.25</v>
      </c>
    </row>
    <row r="1039" spans="1:14" x14ac:dyDescent="0.25">
      <c r="A1039">
        <v>71</v>
      </c>
      <c r="B1039" s="1">
        <v>43894</v>
      </c>
      <c r="C1039" t="s">
        <v>276</v>
      </c>
      <c r="D1039" t="s">
        <v>25</v>
      </c>
      <c r="F1039" t="s">
        <v>147</v>
      </c>
      <c r="G1039">
        <v>2</v>
      </c>
      <c r="H1039">
        <v>60</v>
      </c>
      <c r="I1039">
        <f t="shared" si="558"/>
        <v>120</v>
      </c>
      <c r="J1039" t="s">
        <v>165</v>
      </c>
      <c r="K1039">
        <f t="shared" ref="K1039" si="580">380/12</f>
        <v>31.666666666666668</v>
      </c>
      <c r="M1039">
        <f t="shared" ref="M1039:M1040" si="581">+K1039*G1039</f>
        <v>63.333333333333336</v>
      </c>
      <c r="N1039">
        <f t="shared" ref="N1039:N1040" si="582">+I1039-M1039</f>
        <v>56.666666666666664</v>
      </c>
    </row>
    <row r="1040" spans="1:14" x14ac:dyDescent="0.25">
      <c r="A1040">
        <v>72</v>
      </c>
      <c r="B1040" s="1">
        <v>43894</v>
      </c>
      <c r="C1040" t="s">
        <v>276</v>
      </c>
      <c r="D1040" t="s">
        <v>25</v>
      </c>
      <c r="F1040" t="s">
        <v>145</v>
      </c>
      <c r="G1040">
        <v>3</v>
      </c>
      <c r="H1040">
        <v>100</v>
      </c>
      <c r="I1040">
        <f t="shared" si="558"/>
        <v>300</v>
      </c>
      <c r="J1040" t="s">
        <v>163</v>
      </c>
      <c r="K1040">
        <v>76</v>
      </c>
      <c r="M1040">
        <f t="shared" si="581"/>
        <v>228</v>
      </c>
      <c r="N1040">
        <f t="shared" si="582"/>
        <v>72</v>
      </c>
    </row>
    <row r="1041" spans="1:14" x14ac:dyDescent="0.25">
      <c r="A1041">
        <v>73</v>
      </c>
      <c r="B1041" s="1">
        <v>43894</v>
      </c>
      <c r="C1041" t="s">
        <v>276</v>
      </c>
      <c r="D1041" t="s">
        <v>44</v>
      </c>
      <c r="F1041" t="s">
        <v>138</v>
      </c>
      <c r="G1041">
        <v>1</v>
      </c>
      <c r="H1041">
        <v>35</v>
      </c>
      <c r="I1041">
        <f t="shared" si="558"/>
        <v>35</v>
      </c>
      <c r="J1041" t="s">
        <v>166</v>
      </c>
      <c r="K1041">
        <v>26</v>
      </c>
      <c r="M1041">
        <f t="shared" ref="M1041:M1043" si="583">+K1041*G1041</f>
        <v>26</v>
      </c>
      <c r="N1041">
        <f t="shared" ref="N1041:N1043" si="584">+I1041-M1041</f>
        <v>9</v>
      </c>
    </row>
    <row r="1042" spans="1:14" x14ac:dyDescent="0.25">
      <c r="A1042">
        <v>74</v>
      </c>
      <c r="B1042" s="1">
        <v>43894</v>
      </c>
      <c r="C1042" t="s">
        <v>276</v>
      </c>
      <c r="D1042" t="s">
        <v>15</v>
      </c>
      <c r="F1042" t="s">
        <v>54</v>
      </c>
      <c r="G1042">
        <v>5</v>
      </c>
      <c r="H1042">
        <v>240</v>
      </c>
      <c r="I1042">
        <f t="shared" si="558"/>
        <v>1200</v>
      </c>
      <c r="J1042" t="s">
        <v>163</v>
      </c>
      <c r="K1042">
        <v>214</v>
      </c>
      <c r="M1042">
        <f t="shared" si="583"/>
        <v>1070</v>
      </c>
      <c r="N1042">
        <f t="shared" si="584"/>
        <v>130</v>
      </c>
    </row>
    <row r="1043" spans="1:14" x14ac:dyDescent="0.25">
      <c r="A1043">
        <v>75</v>
      </c>
      <c r="B1043" s="1">
        <v>43894</v>
      </c>
      <c r="C1043" t="s">
        <v>276</v>
      </c>
      <c r="D1043" t="s">
        <v>56</v>
      </c>
      <c r="F1043" t="s">
        <v>267</v>
      </c>
      <c r="G1043">
        <v>7</v>
      </c>
      <c r="H1043">
        <v>170</v>
      </c>
      <c r="I1043">
        <f t="shared" si="558"/>
        <v>1190</v>
      </c>
      <c r="J1043" t="s">
        <v>163</v>
      </c>
      <c r="K1043">
        <v>132</v>
      </c>
      <c r="M1043">
        <f t="shared" si="583"/>
        <v>924</v>
      </c>
      <c r="N1043">
        <f t="shared" si="584"/>
        <v>266</v>
      </c>
    </row>
    <row r="1044" spans="1:14" x14ac:dyDescent="0.25">
      <c r="A1044">
        <v>76</v>
      </c>
      <c r="B1044" s="1">
        <v>43894</v>
      </c>
      <c r="C1044" t="s">
        <v>276</v>
      </c>
      <c r="D1044" t="s">
        <v>44</v>
      </c>
      <c r="F1044" t="s">
        <v>133</v>
      </c>
      <c r="G1044">
        <v>1</v>
      </c>
      <c r="H1044">
        <v>35</v>
      </c>
      <c r="I1044">
        <f t="shared" si="558"/>
        <v>35</v>
      </c>
      <c r="J1044" t="s">
        <v>166</v>
      </c>
      <c r="K1044">
        <v>26</v>
      </c>
      <c r="M1044">
        <f t="shared" ref="M1044:M1046" si="585">+K1044*G1044</f>
        <v>26</v>
      </c>
      <c r="N1044">
        <f t="shared" ref="N1044:N1046" si="586">+I1044-M1044</f>
        <v>9</v>
      </c>
    </row>
    <row r="1045" spans="1:14" x14ac:dyDescent="0.25">
      <c r="A1045">
        <v>77</v>
      </c>
      <c r="B1045" s="1">
        <v>43894</v>
      </c>
      <c r="C1045" t="s">
        <v>276</v>
      </c>
      <c r="D1045" t="s">
        <v>15</v>
      </c>
      <c r="F1045" t="s">
        <v>54</v>
      </c>
      <c r="G1045">
        <v>31</v>
      </c>
      <c r="H1045">
        <v>240</v>
      </c>
      <c r="I1045">
        <f t="shared" si="558"/>
        <v>7440</v>
      </c>
      <c r="J1045" t="s">
        <v>163</v>
      </c>
      <c r="K1045">
        <v>214</v>
      </c>
      <c r="M1045">
        <f t="shared" si="585"/>
        <v>6634</v>
      </c>
      <c r="N1045">
        <f t="shared" si="586"/>
        <v>806</v>
      </c>
    </row>
    <row r="1046" spans="1:14" x14ac:dyDescent="0.25">
      <c r="A1046">
        <v>78</v>
      </c>
      <c r="B1046" s="1">
        <v>43894</v>
      </c>
      <c r="C1046" t="s">
        <v>276</v>
      </c>
      <c r="D1046" t="s">
        <v>56</v>
      </c>
      <c r="F1046" t="s">
        <v>267</v>
      </c>
      <c r="G1046">
        <v>7</v>
      </c>
      <c r="H1046">
        <v>170</v>
      </c>
      <c r="I1046">
        <f t="shared" si="558"/>
        <v>1190</v>
      </c>
      <c r="J1046" t="s">
        <v>163</v>
      </c>
      <c r="K1046">
        <v>132</v>
      </c>
      <c r="M1046">
        <f t="shared" si="585"/>
        <v>924</v>
      </c>
      <c r="N1046">
        <f t="shared" si="586"/>
        <v>266</v>
      </c>
    </row>
    <row r="1047" spans="1:14" x14ac:dyDescent="0.25">
      <c r="A1047">
        <v>79</v>
      </c>
      <c r="B1047" s="1">
        <v>43894</v>
      </c>
      <c r="C1047" t="s">
        <v>276</v>
      </c>
      <c r="D1047" t="s">
        <v>44</v>
      </c>
      <c r="F1047" t="s">
        <v>77</v>
      </c>
      <c r="G1047">
        <v>1</v>
      </c>
      <c r="H1047">
        <v>35</v>
      </c>
      <c r="I1047">
        <f t="shared" si="558"/>
        <v>35</v>
      </c>
      <c r="J1047" t="s">
        <v>166</v>
      </c>
      <c r="K1047">
        <v>26</v>
      </c>
      <c r="M1047">
        <f t="shared" ref="M1047" si="587">+K1047*G1047</f>
        <v>26</v>
      </c>
      <c r="N1047">
        <f t="shared" ref="N1047" si="588">+I1047-M1047</f>
        <v>9</v>
      </c>
    </row>
    <row r="1048" spans="1:14" x14ac:dyDescent="0.25">
      <c r="A1048">
        <v>80</v>
      </c>
      <c r="B1048" s="1">
        <v>43894</v>
      </c>
      <c r="C1048" t="s">
        <v>276</v>
      </c>
      <c r="D1048" t="s">
        <v>25</v>
      </c>
      <c r="F1048" t="s">
        <v>147</v>
      </c>
      <c r="G1048">
        <v>2</v>
      </c>
      <c r="H1048">
        <v>60</v>
      </c>
      <c r="I1048">
        <f t="shared" si="558"/>
        <v>120</v>
      </c>
      <c r="J1048" t="s">
        <v>165</v>
      </c>
      <c r="K1048">
        <f t="shared" ref="K1048" si="589">380/12</f>
        <v>31.666666666666668</v>
      </c>
      <c r="M1048">
        <f t="shared" ref="M1048:M1051" si="590">+K1048*G1048</f>
        <v>63.333333333333336</v>
      </c>
      <c r="N1048">
        <f t="shared" ref="N1048:N1051" si="591">+I1048-M1048</f>
        <v>56.666666666666664</v>
      </c>
    </row>
    <row r="1049" spans="1:14" x14ac:dyDescent="0.25">
      <c r="A1049">
        <v>81</v>
      </c>
      <c r="B1049" s="1">
        <v>43895</v>
      </c>
      <c r="C1049" t="s">
        <v>276</v>
      </c>
      <c r="D1049" t="s">
        <v>70</v>
      </c>
      <c r="F1049" t="s">
        <v>122</v>
      </c>
      <c r="G1049">
        <v>1</v>
      </c>
      <c r="H1049">
        <v>3100</v>
      </c>
      <c r="I1049">
        <f t="shared" si="558"/>
        <v>3100</v>
      </c>
      <c r="J1049" t="s">
        <v>163</v>
      </c>
      <c r="K1049">
        <v>2732</v>
      </c>
      <c r="M1049">
        <f t="shared" si="590"/>
        <v>2732</v>
      </c>
      <c r="N1049">
        <f t="shared" si="591"/>
        <v>368</v>
      </c>
    </row>
    <row r="1050" spans="1:14" x14ac:dyDescent="0.25">
      <c r="A1050">
        <v>82</v>
      </c>
      <c r="B1050" s="1">
        <v>43895</v>
      </c>
      <c r="C1050" t="s">
        <v>276</v>
      </c>
      <c r="D1050" t="s">
        <v>70</v>
      </c>
      <c r="F1050" t="s">
        <v>152</v>
      </c>
      <c r="G1050">
        <v>1</v>
      </c>
      <c r="H1050">
        <v>85</v>
      </c>
      <c r="I1050">
        <f t="shared" si="558"/>
        <v>85</v>
      </c>
      <c r="J1050" t="s">
        <v>163</v>
      </c>
      <c r="K1050">
        <v>67</v>
      </c>
      <c r="M1050">
        <f t="shared" si="590"/>
        <v>67</v>
      </c>
      <c r="N1050">
        <f t="shared" si="591"/>
        <v>18</v>
      </c>
    </row>
    <row r="1051" spans="1:14" x14ac:dyDescent="0.25">
      <c r="A1051">
        <v>83</v>
      </c>
      <c r="B1051" s="1">
        <v>43895</v>
      </c>
      <c r="C1051" t="s">
        <v>276</v>
      </c>
      <c r="D1051" t="s">
        <v>56</v>
      </c>
      <c r="F1051" t="s">
        <v>267</v>
      </c>
      <c r="G1051">
        <v>15</v>
      </c>
      <c r="H1051">
        <v>170</v>
      </c>
      <c r="I1051">
        <f t="shared" si="558"/>
        <v>2550</v>
      </c>
      <c r="J1051" t="s">
        <v>163</v>
      </c>
      <c r="K1051">
        <v>132</v>
      </c>
      <c r="M1051">
        <f t="shared" si="590"/>
        <v>1980</v>
      </c>
      <c r="N1051">
        <f t="shared" si="591"/>
        <v>570</v>
      </c>
    </row>
    <row r="1052" spans="1:14" x14ac:dyDescent="0.25">
      <c r="A1052">
        <v>84</v>
      </c>
      <c r="B1052" s="1">
        <v>43895</v>
      </c>
      <c r="C1052" t="s">
        <v>276</v>
      </c>
      <c r="D1052" t="s">
        <v>15</v>
      </c>
      <c r="F1052" t="s">
        <v>21</v>
      </c>
      <c r="G1052">
        <f>2/9+2</f>
        <v>2.2222222222222223</v>
      </c>
      <c r="H1052">
        <v>300</v>
      </c>
      <c r="I1052">
        <f t="shared" si="558"/>
        <v>666.66666666666674</v>
      </c>
      <c r="J1052" t="s">
        <v>13</v>
      </c>
      <c r="K1052">
        <v>280</v>
      </c>
      <c r="M1052">
        <f t="shared" ref="M1052" si="592">+K1052*G1052</f>
        <v>622.22222222222229</v>
      </c>
      <c r="N1052">
        <f t="shared" ref="N1052" si="593">+I1052-M1052</f>
        <v>44.444444444444457</v>
      </c>
    </row>
    <row r="1053" spans="1:14" x14ac:dyDescent="0.25">
      <c r="A1053">
        <v>85</v>
      </c>
      <c r="B1053" s="1">
        <v>43895</v>
      </c>
      <c r="C1053" t="s">
        <v>276</v>
      </c>
      <c r="D1053" t="s">
        <v>92</v>
      </c>
      <c r="F1053" t="s">
        <v>91</v>
      </c>
      <c r="G1053">
        <v>1</v>
      </c>
      <c r="H1053">
        <v>46</v>
      </c>
      <c r="I1053">
        <f t="shared" si="558"/>
        <v>46</v>
      </c>
      <c r="J1053" t="s">
        <v>166</v>
      </c>
    </row>
    <row r="1054" spans="1:14" x14ac:dyDescent="0.25">
      <c r="A1054">
        <v>86</v>
      </c>
      <c r="B1054" s="1">
        <v>43895</v>
      </c>
      <c r="C1054" t="s">
        <v>276</v>
      </c>
      <c r="D1054" t="s">
        <v>78</v>
      </c>
      <c r="F1054" t="s">
        <v>79</v>
      </c>
      <c r="G1054">
        <v>1</v>
      </c>
      <c r="H1054">
        <v>1550</v>
      </c>
      <c r="I1054">
        <f t="shared" si="558"/>
        <v>1550</v>
      </c>
      <c r="J1054" t="s">
        <v>167</v>
      </c>
      <c r="K1054">
        <v>1330</v>
      </c>
      <c r="M1054">
        <f t="shared" ref="M1054" si="594">+K1054*G1054</f>
        <v>1330</v>
      </c>
      <c r="N1054">
        <f t="shared" ref="N1054" si="595">+I1054-M1054</f>
        <v>220</v>
      </c>
    </row>
    <row r="1055" spans="1:14" x14ac:dyDescent="0.25">
      <c r="A1055">
        <v>87</v>
      </c>
      <c r="B1055" s="1">
        <v>43895</v>
      </c>
      <c r="C1055" t="s">
        <v>276</v>
      </c>
      <c r="D1055" t="s">
        <v>78</v>
      </c>
      <c r="F1055" t="s">
        <v>42</v>
      </c>
      <c r="G1055">
        <v>1</v>
      </c>
      <c r="H1055">
        <v>720</v>
      </c>
      <c r="I1055">
        <f t="shared" si="558"/>
        <v>720</v>
      </c>
      <c r="J1055" t="s">
        <v>166</v>
      </c>
    </row>
    <row r="1056" spans="1:14" x14ac:dyDescent="0.25">
      <c r="A1056">
        <v>88</v>
      </c>
      <c r="B1056" s="1">
        <v>43895</v>
      </c>
      <c r="C1056" t="s">
        <v>276</v>
      </c>
      <c r="D1056" t="s">
        <v>78</v>
      </c>
      <c r="F1056" t="s">
        <v>273</v>
      </c>
      <c r="G1056">
        <v>1</v>
      </c>
      <c r="H1056">
        <v>140</v>
      </c>
      <c r="I1056">
        <f t="shared" si="558"/>
        <v>140</v>
      </c>
      <c r="J1056" t="s">
        <v>166</v>
      </c>
    </row>
    <row r="1057" spans="1:14" x14ac:dyDescent="0.25">
      <c r="A1057">
        <v>89</v>
      </c>
      <c r="B1057" s="1">
        <v>43895</v>
      </c>
      <c r="C1057" t="s">
        <v>276</v>
      </c>
      <c r="D1057" t="s">
        <v>44</v>
      </c>
      <c r="F1057" t="s">
        <v>138</v>
      </c>
      <c r="G1057">
        <v>1</v>
      </c>
      <c r="H1057">
        <v>35</v>
      </c>
      <c r="I1057">
        <f t="shared" si="558"/>
        <v>35</v>
      </c>
      <c r="J1057" t="s">
        <v>166</v>
      </c>
      <c r="K1057">
        <v>26</v>
      </c>
      <c r="M1057">
        <f t="shared" ref="M1057" si="596">+K1057*G1057</f>
        <v>26</v>
      </c>
      <c r="N1057">
        <f t="shared" ref="N1057" si="597">+I1057-M1057</f>
        <v>9</v>
      </c>
    </row>
    <row r="1058" spans="1:14" x14ac:dyDescent="0.25">
      <c r="A1058">
        <v>90</v>
      </c>
      <c r="B1058" s="1">
        <v>43895</v>
      </c>
      <c r="C1058" t="s">
        <v>276</v>
      </c>
      <c r="D1058" t="s">
        <v>78</v>
      </c>
      <c r="F1058" t="s">
        <v>289</v>
      </c>
      <c r="G1058">
        <v>1</v>
      </c>
      <c r="H1058">
        <v>90</v>
      </c>
      <c r="I1058">
        <f t="shared" si="558"/>
        <v>90</v>
      </c>
      <c r="J1058" t="s">
        <v>166</v>
      </c>
    </row>
    <row r="1059" spans="1:14" x14ac:dyDescent="0.25">
      <c r="A1059">
        <v>91</v>
      </c>
      <c r="B1059" s="1">
        <v>43895</v>
      </c>
      <c r="C1059" t="s">
        <v>276</v>
      </c>
      <c r="D1059" t="s">
        <v>56</v>
      </c>
      <c r="F1059" t="s">
        <v>267</v>
      </c>
      <c r="G1059">
        <v>1</v>
      </c>
      <c r="H1059">
        <v>170</v>
      </c>
      <c r="I1059">
        <f t="shared" si="558"/>
        <v>170</v>
      </c>
      <c r="J1059" t="s">
        <v>163</v>
      </c>
      <c r="K1059">
        <v>132</v>
      </c>
      <c r="M1059">
        <f t="shared" ref="M1059:M1061" si="598">+K1059*G1059</f>
        <v>132</v>
      </c>
      <c r="N1059">
        <f t="shared" ref="N1059:N1061" si="599">+I1059-M1059</f>
        <v>38</v>
      </c>
    </row>
    <row r="1060" spans="1:14" x14ac:dyDescent="0.25">
      <c r="A1060">
        <v>92</v>
      </c>
      <c r="B1060" s="1">
        <v>43895</v>
      </c>
      <c r="C1060" t="s">
        <v>276</v>
      </c>
      <c r="D1060" t="s">
        <v>15</v>
      </c>
      <c r="F1060" t="s">
        <v>272</v>
      </c>
      <c r="G1060">
        <f>1/4.9</f>
        <v>0.2040816326530612</v>
      </c>
      <c r="H1060">
        <v>360</v>
      </c>
      <c r="I1060">
        <f t="shared" si="558"/>
        <v>73.469387755102034</v>
      </c>
      <c r="J1060" t="s">
        <v>167</v>
      </c>
      <c r="K1060">
        <v>390</v>
      </c>
      <c r="M1060">
        <f t="shared" si="598"/>
        <v>79.591836734693871</v>
      </c>
    </row>
    <row r="1061" spans="1:14" x14ac:dyDescent="0.25">
      <c r="A1061">
        <v>93</v>
      </c>
      <c r="B1061" s="1">
        <v>43895</v>
      </c>
      <c r="C1061" t="s">
        <v>276</v>
      </c>
      <c r="D1061" t="s">
        <v>15</v>
      </c>
      <c r="F1061" t="s">
        <v>76</v>
      </c>
      <c r="G1061">
        <v>8</v>
      </c>
      <c r="H1061">
        <v>230</v>
      </c>
      <c r="I1061">
        <f t="shared" si="558"/>
        <v>1840</v>
      </c>
      <c r="J1061" t="s">
        <v>163</v>
      </c>
      <c r="K1061">
        <v>196</v>
      </c>
      <c r="M1061">
        <f t="shared" si="598"/>
        <v>1568</v>
      </c>
      <c r="N1061">
        <f t="shared" si="599"/>
        <v>272</v>
      </c>
    </row>
    <row r="1062" spans="1:14" x14ac:dyDescent="0.25">
      <c r="A1062">
        <v>94</v>
      </c>
      <c r="B1062" s="1">
        <v>43895</v>
      </c>
      <c r="C1062" t="s">
        <v>276</v>
      </c>
      <c r="D1062" t="s">
        <v>24</v>
      </c>
      <c r="F1062" t="s">
        <v>24</v>
      </c>
      <c r="G1062">
        <v>1</v>
      </c>
      <c r="H1062">
        <v>100</v>
      </c>
      <c r="I1062">
        <f t="shared" si="558"/>
        <v>100</v>
      </c>
      <c r="J1062" t="s">
        <v>186</v>
      </c>
      <c r="K1062">
        <v>68.22</v>
      </c>
      <c r="M1062">
        <f t="shared" ref="M1062:M1063" si="600">+K1062*G1062</f>
        <v>68.22</v>
      </c>
      <c r="N1062">
        <f t="shared" ref="N1062:N1063" si="601">+I1062-M1062</f>
        <v>31.78</v>
      </c>
    </row>
    <row r="1063" spans="1:14" x14ac:dyDescent="0.25">
      <c r="A1063">
        <v>95</v>
      </c>
      <c r="B1063" s="1">
        <v>43895</v>
      </c>
      <c r="C1063" t="s">
        <v>276</v>
      </c>
      <c r="D1063" t="s">
        <v>44</v>
      </c>
      <c r="F1063" t="s">
        <v>226</v>
      </c>
      <c r="G1063">
        <v>1</v>
      </c>
      <c r="H1063">
        <v>35</v>
      </c>
      <c r="I1063">
        <f t="shared" si="558"/>
        <v>35</v>
      </c>
      <c r="J1063" t="s">
        <v>166</v>
      </c>
      <c r="K1063">
        <v>26</v>
      </c>
      <c r="M1063">
        <f t="shared" si="600"/>
        <v>26</v>
      </c>
      <c r="N1063">
        <f t="shared" si="601"/>
        <v>9</v>
      </c>
    </row>
    <row r="1064" spans="1:14" x14ac:dyDescent="0.25">
      <c r="A1064">
        <v>96</v>
      </c>
      <c r="B1064" s="1">
        <v>43895</v>
      </c>
      <c r="C1064" t="s">
        <v>276</v>
      </c>
      <c r="D1064" t="s">
        <v>55</v>
      </c>
      <c r="F1064" t="s">
        <v>94</v>
      </c>
      <c r="G1064">
        <v>6</v>
      </c>
      <c r="H1064">
        <v>300</v>
      </c>
      <c r="I1064">
        <f t="shared" si="558"/>
        <v>1800</v>
      </c>
      <c r="J1064" t="s">
        <v>13</v>
      </c>
      <c r="K1064">
        <v>280</v>
      </c>
      <c r="M1064">
        <f t="shared" ref="M1064" si="602">+K1064*G1064</f>
        <v>1680</v>
      </c>
      <c r="N1064">
        <f t="shared" ref="N1064" si="603">+I1064-M1064</f>
        <v>120</v>
      </c>
    </row>
    <row r="1065" spans="1:14" x14ac:dyDescent="0.25">
      <c r="A1065">
        <v>97</v>
      </c>
      <c r="B1065" s="1">
        <v>43895</v>
      </c>
      <c r="C1065" t="s">
        <v>276</v>
      </c>
      <c r="D1065" t="s">
        <v>25</v>
      </c>
      <c r="F1065" t="s">
        <v>156</v>
      </c>
      <c r="G1065">
        <v>2</v>
      </c>
      <c r="H1065">
        <v>60</v>
      </c>
      <c r="I1065">
        <f t="shared" si="558"/>
        <v>120</v>
      </c>
      <c r="J1065" t="s">
        <v>165</v>
      </c>
      <c r="K1065">
        <f t="shared" ref="K1065" si="604">380/12</f>
        <v>31.666666666666668</v>
      </c>
      <c r="M1065">
        <f t="shared" ref="M1065:M1066" si="605">+K1065*G1065</f>
        <v>63.333333333333336</v>
      </c>
      <c r="N1065">
        <f t="shared" ref="N1065:N1066" si="606">+I1065-M1065</f>
        <v>56.666666666666664</v>
      </c>
    </row>
    <row r="1066" spans="1:14" x14ac:dyDescent="0.25">
      <c r="A1066">
        <v>98</v>
      </c>
      <c r="B1066" s="1">
        <v>43895</v>
      </c>
      <c r="C1066" t="s">
        <v>276</v>
      </c>
      <c r="D1066" t="s">
        <v>75</v>
      </c>
      <c r="F1066" t="s">
        <v>274</v>
      </c>
      <c r="G1066">
        <v>20</v>
      </c>
      <c r="H1066">
        <v>35</v>
      </c>
      <c r="I1066">
        <f t="shared" si="558"/>
        <v>700</v>
      </c>
      <c r="J1066" t="s">
        <v>163</v>
      </c>
      <c r="K1066">
        <v>23</v>
      </c>
      <c r="M1066">
        <f t="shared" si="605"/>
        <v>460</v>
      </c>
      <c r="N1066">
        <f t="shared" si="606"/>
        <v>240</v>
      </c>
    </row>
    <row r="1067" spans="1:14" x14ac:dyDescent="0.25">
      <c r="A1067">
        <v>99</v>
      </c>
      <c r="B1067" s="1">
        <v>43895</v>
      </c>
      <c r="C1067" t="s">
        <v>276</v>
      </c>
      <c r="D1067" t="s">
        <v>55</v>
      </c>
      <c r="F1067" t="s">
        <v>89</v>
      </c>
      <c r="G1067">
        <v>6</v>
      </c>
      <c r="H1067">
        <v>298</v>
      </c>
      <c r="I1067">
        <f t="shared" si="558"/>
        <v>1788</v>
      </c>
      <c r="J1067" t="s">
        <v>167</v>
      </c>
      <c r="K1067">
        <v>268</v>
      </c>
      <c r="M1067">
        <f t="shared" ref="M1067:M1069" si="607">+K1067*G1067</f>
        <v>1608</v>
      </c>
      <c r="N1067">
        <f t="shared" ref="N1067:N1069" si="608">+I1067-M1067</f>
        <v>180</v>
      </c>
    </row>
    <row r="1068" spans="1:14" x14ac:dyDescent="0.25">
      <c r="A1068">
        <v>100</v>
      </c>
      <c r="B1068" s="1">
        <v>43895</v>
      </c>
      <c r="C1068" t="s">
        <v>276</v>
      </c>
      <c r="D1068" t="s">
        <v>15</v>
      </c>
      <c r="F1068" t="s">
        <v>96</v>
      </c>
      <c r="G1068">
        <v>2</v>
      </c>
      <c r="H1068">
        <v>230</v>
      </c>
      <c r="I1068">
        <f t="shared" si="558"/>
        <v>460</v>
      </c>
      <c r="J1068" t="s">
        <v>163</v>
      </c>
      <c r="K1068">
        <v>182</v>
      </c>
      <c r="M1068">
        <f t="shared" si="607"/>
        <v>364</v>
      </c>
      <c r="N1068">
        <f t="shared" si="608"/>
        <v>96</v>
      </c>
    </row>
    <row r="1069" spans="1:14" x14ac:dyDescent="0.25">
      <c r="A1069">
        <v>101</v>
      </c>
      <c r="B1069" s="1">
        <v>43896</v>
      </c>
      <c r="C1069" t="s">
        <v>276</v>
      </c>
      <c r="D1069" t="s">
        <v>25</v>
      </c>
      <c r="F1069" t="s">
        <v>169</v>
      </c>
      <c r="G1069">
        <v>2</v>
      </c>
      <c r="H1069">
        <v>100</v>
      </c>
      <c r="I1069">
        <f t="shared" si="558"/>
        <v>200</v>
      </c>
      <c r="J1069" t="s">
        <v>163</v>
      </c>
      <c r="K1069">
        <v>76</v>
      </c>
      <c r="M1069">
        <f t="shared" si="607"/>
        <v>152</v>
      </c>
      <c r="N1069">
        <f t="shared" si="608"/>
        <v>48</v>
      </c>
    </row>
    <row r="1070" spans="1:14" x14ac:dyDescent="0.25">
      <c r="A1070">
        <v>102</v>
      </c>
      <c r="B1070" s="1">
        <v>43896</v>
      </c>
      <c r="C1070" t="s">
        <v>276</v>
      </c>
      <c r="D1070" t="s">
        <v>25</v>
      </c>
      <c r="F1070" t="s">
        <v>58</v>
      </c>
      <c r="G1070">
        <v>5</v>
      </c>
      <c r="H1070">
        <v>60</v>
      </c>
      <c r="I1070">
        <f t="shared" si="558"/>
        <v>300</v>
      </c>
      <c r="J1070" t="s">
        <v>165</v>
      </c>
      <c r="K1070">
        <f t="shared" ref="K1070" si="609">380/12</f>
        <v>31.666666666666668</v>
      </c>
      <c r="M1070">
        <f t="shared" ref="M1070:M1071" si="610">+K1070*G1070</f>
        <v>158.33333333333334</v>
      </c>
      <c r="N1070">
        <f t="shared" ref="N1070:N1071" si="611">+I1070-M1070</f>
        <v>141.66666666666666</v>
      </c>
    </row>
    <row r="1071" spans="1:14" x14ac:dyDescent="0.25">
      <c r="A1071">
        <v>103</v>
      </c>
      <c r="B1071" s="1">
        <v>43896</v>
      </c>
      <c r="C1071" t="s">
        <v>276</v>
      </c>
      <c r="D1071" t="s">
        <v>15</v>
      </c>
      <c r="F1071" t="s">
        <v>35</v>
      </c>
      <c r="G1071">
        <f>4/9</f>
        <v>0.44444444444444442</v>
      </c>
      <c r="H1071">
        <v>290</v>
      </c>
      <c r="I1071">
        <f t="shared" si="558"/>
        <v>128.88888888888889</v>
      </c>
      <c r="J1071" t="s">
        <v>163</v>
      </c>
      <c r="K1071">
        <v>196</v>
      </c>
      <c r="M1071">
        <f t="shared" si="610"/>
        <v>87.1111111111111</v>
      </c>
      <c r="N1071">
        <f t="shared" si="611"/>
        <v>41.777777777777786</v>
      </c>
    </row>
    <row r="1072" spans="1:14" x14ac:dyDescent="0.25">
      <c r="A1072">
        <v>104</v>
      </c>
      <c r="B1072" s="1">
        <v>43896</v>
      </c>
      <c r="C1072" t="s">
        <v>276</v>
      </c>
      <c r="D1072" t="s">
        <v>15</v>
      </c>
      <c r="F1072" t="s">
        <v>17</v>
      </c>
      <c r="G1072">
        <v>14</v>
      </c>
      <c r="H1072">
        <v>360</v>
      </c>
      <c r="I1072">
        <f t="shared" si="558"/>
        <v>5040</v>
      </c>
      <c r="J1072" t="s">
        <v>13</v>
      </c>
      <c r="K1072">
        <v>330</v>
      </c>
    </row>
    <row r="1073" spans="1:14" x14ac:dyDescent="0.25">
      <c r="A1073">
        <v>105</v>
      </c>
      <c r="B1073" s="1">
        <v>43896</v>
      </c>
      <c r="C1073" t="s">
        <v>276</v>
      </c>
      <c r="D1073" t="s">
        <v>55</v>
      </c>
      <c r="F1073" t="s">
        <v>94</v>
      </c>
      <c r="G1073">
        <v>1</v>
      </c>
      <c r="H1073">
        <v>300</v>
      </c>
      <c r="I1073">
        <f t="shared" si="558"/>
        <v>300</v>
      </c>
      <c r="J1073" t="s">
        <v>13</v>
      </c>
      <c r="K1073">
        <v>280</v>
      </c>
      <c r="M1073">
        <f t="shared" ref="M1073:M1074" si="612">+K1073*G1073</f>
        <v>280</v>
      </c>
      <c r="N1073">
        <f t="shared" ref="N1073:N1074" si="613">+I1073-M1073</f>
        <v>20</v>
      </c>
    </row>
    <row r="1074" spans="1:14" x14ac:dyDescent="0.25">
      <c r="A1074">
        <v>106</v>
      </c>
      <c r="B1074" s="1">
        <v>43896</v>
      </c>
      <c r="C1074" t="s">
        <v>276</v>
      </c>
      <c r="D1074" t="s">
        <v>15</v>
      </c>
      <c r="F1074" t="s">
        <v>33</v>
      </c>
      <c r="G1074">
        <v>2</v>
      </c>
      <c r="H1074">
        <v>230</v>
      </c>
      <c r="I1074">
        <f t="shared" si="558"/>
        <v>460</v>
      </c>
      <c r="J1074" t="s">
        <v>163</v>
      </c>
      <c r="K1074">
        <v>182</v>
      </c>
      <c r="M1074">
        <f t="shared" si="612"/>
        <v>364</v>
      </c>
      <c r="N1074">
        <f t="shared" si="613"/>
        <v>96</v>
      </c>
    </row>
    <row r="1075" spans="1:14" x14ac:dyDescent="0.25">
      <c r="A1075">
        <v>107</v>
      </c>
      <c r="B1075" s="1">
        <v>43896</v>
      </c>
      <c r="C1075" t="s">
        <v>276</v>
      </c>
      <c r="D1075" t="s">
        <v>25</v>
      </c>
      <c r="F1075" t="s">
        <v>58</v>
      </c>
      <c r="G1075">
        <v>1</v>
      </c>
      <c r="H1075">
        <v>60</v>
      </c>
      <c r="I1075">
        <f t="shared" si="558"/>
        <v>60</v>
      </c>
      <c r="J1075" t="s">
        <v>165</v>
      </c>
      <c r="K1075">
        <f t="shared" ref="K1075" si="614">380/12</f>
        <v>31.666666666666668</v>
      </c>
      <c r="M1075">
        <f t="shared" ref="M1075:M1076" si="615">+K1075*G1075</f>
        <v>31.666666666666668</v>
      </c>
      <c r="N1075">
        <f t="shared" ref="N1075:N1076" si="616">+I1075-M1075</f>
        <v>28.333333333333332</v>
      </c>
    </row>
    <row r="1076" spans="1:14" x14ac:dyDescent="0.25">
      <c r="A1076">
        <v>108</v>
      </c>
      <c r="B1076" s="1">
        <v>43896</v>
      </c>
      <c r="C1076" t="s">
        <v>276</v>
      </c>
      <c r="D1076" t="s">
        <v>15</v>
      </c>
      <c r="F1076" t="s">
        <v>35</v>
      </c>
      <c r="G1076">
        <v>1</v>
      </c>
      <c r="H1076">
        <v>230</v>
      </c>
      <c r="I1076">
        <f t="shared" si="558"/>
        <v>230</v>
      </c>
      <c r="J1076" t="s">
        <v>163</v>
      </c>
      <c r="K1076">
        <v>196</v>
      </c>
      <c r="M1076">
        <f t="shared" si="615"/>
        <v>196</v>
      </c>
      <c r="N1076">
        <f t="shared" si="616"/>
        <v>34</v>
      </c>
    </row>
    <row r="1077" spans="1:14" x14ac:dyDescent="0.25">
      <c r="A1077">
        <v>109</v>
      </c>
      <c r="B1077" s="1">
        <v>43896</v>
      </c>
      <c r="C1077" t="s">
        <v>276</v>
      </c>
      <c r="D1077" t="s">
        <v>25</v>
      </c>
      <c r="F1077" t="s">
        <v>58</v>
      </c>
      <c r="G1077">
        <v>1</v>
      </c>
      <c r="H1077">
        <v>60</v>
      </c>
      <c r="I1077">
        <f t="shared" si="558"/>
        <v>60</v>
      </c>
      <c r="J1077" t="s">
        <v>165</v>
      </c>
      <c r="K1077">
        <f t="shared" ref="K1077" si="617">380/12</f>
        <v>31.666666666666668</v>
      </c>
      <c r="M1077">
        <f t="shared" ref="M1077" si="618">+K1077*G1077</f>
        <v>31.666666666666668</v>
      </c>
      <c r="N1077">
        <f t="shared" ref="N1077" si="619">+I1077-M1077</f>
        <v>28.333333333333332</v>
      </c>
    </row>
    <row r="1078" spans="1:14" x14ac:dyDescent="0.25">
      <c r="A1078">
        <v>110</v>
      </c>
      <c r="B1078" s="1">
        <v>43896</v>
      </c>
      <c r="C1078" t="s">
        <v>276</v>
      </c>
      <c r="D1078" t="s">
        <v>26</v>
      </c>
      <c r="F1078" t="s">
        <v>47</v>
      </c>
      <c r="G1078">
        <v>1.44</v>
      </c>
      <c r="H1078">
        <v>380</v>
      </c>
      <c r="I1078">
        <f t="shared" si="558"/>
        <v>547.19999999999993</v>
      </c>
      <c r="J1078" t="s">
        <v>99</v>
      </c>
      <c r="K1078">
        <v>302</v>
      </c>
      <c r="M1078">
        <f t="shared" ref="M1078:M1081" si="620">+K1078*G1078</f>
        <v>434.88</v>
      </c>
      <c r="N1078">
        <f t="shared" ref="N1078:N1081" si="621">+I1078-M1078</f>
        <v>112.31999999999994</v>
      </c>
    </row>
    <row r="1079" spans="1:14" x14ac:dyDescent="0.25">
      <c r="A1079">
        <v>111</v>
      </c>
      <c r="B1079" s="1">
        <v>43896</v>
      </c>
      <c r="C1079" t="s">
        <v>276</v>
      </c>
      <c r="D1079" t="s">
        <v>15</v>
      </c>
      <c r="F1079" t="s">
        <v>29</v>
      </c>
      <c r="G1079">
        <v>15</v>
      </c>
      <c r="H1079">
        <v>230</v>
      </c>
      <c r="I1079">
        <f t="shared" si="558"/>
        <v>3450</v>
      </c>
      <c r="J1079" t="s">
        <v>163</v>
      </c>
      <c r="K1079">
        <v>196</v>
      </c>
      <c r="M1079">
        <f t="shared" si="620"/>
        <v>2940</v>
      </c>
      <c r="N1079">
        <f t="shared" si="621"/>
        <v>510</v>
      </c>
    </row>
    <row r="1080" spans="1:14" x14ac:dyDescent="0.25">
      <c r="A1080">
        <v>112</v>
      </c>
      <c r="B1080" s="1">
        <v>43896</v>
      </c>
      <c r="C1080" t="s">
        <v>276</v>
      </c>
      <c r="D1080" t="s">
        <v>15</v>
      </c>
      <c r="F1080" t="s">
        <v>20</v>
      </c>
      <c r="G1080">
        <v>14</v>
      </c>
      <c r="H1080">
        <v>250</v>
      </c>
      <c r="I1080">
        <f t="shared" si="558"/>
        <v>3500</v>
      </c>
      <c r="J1080" t="s">
        <v>163</v>
      </c>
      <c r="K1080">
        <v>216</v>
      </c>
      <c r="M1080">
        <f t="shared" si="620"/>
        <v>3024</v>
      </c>
      <c r="N1080">
        <f t="shared" si="621"/>
        <v>476</v>
      </c>
    </row>
    <row r="1081" spans="1:14" x14ac:dyDescent="0.25">
      <c r="A1081">
        <v>113</v>
      </c>
      <c r="B1081" s="1">
        <v>43896</v>
      </c>
      <c r="C1081" t="s">
        <v>276</v>
      </c>
      <c r="D1081" t="s">
        <v>15</v>
      </c>
      <c r="F1081" t="s">
        <v>31</v>
      </c>
      <c r="G1081">
        <v>2.5</v>
      </c>
      <c r="H1081">
        <v>280</v>
      </c>
      <c r="I1081">
        <f t="shared" si="558"/>
        <v>700</v>
      </c>
      <c r="J1081" t="s">
        <v>163</v>
      </c>
      <c r="K1081">
        <v>215</v>
      </c>
      <c r="M1081">
        <f t="shared" si="620"/>
        <v>537.5</v>
      </c>
      <c r="N1081">
        <f t="shared" si="621"/>
        <v>162.5</v>
      </c>
    </row>
    <row r="1082" spans="1:14" x14ac:dyDescent="0.25">
      <c r="A1082">
        <v>114</v>
      </c>
      <c r="B1082" s="1">
        <v>43896</v>
      </c>
      <c r="C1082" t="s">
        <v>276</v>
      </c>
      <c r="D1082" t="s">
        <v>70</v>
      </c>
      <c r="F1082" t="s">
        <v>227</v>
      </c>
      <c r="G1082">
        <v>1</v>
      </c>
      <c r="H1082">
        <v>1600</v>
      </c>
      <c r="I1082">
        <f t="shared" si="558"/>
        <v>1600</v>
      </c>
      <c r="J1082" t="s">
        <v>167</v>
      </c>
      <c r="K1082">
        <v>1440</v>
      </c>
      <c r="M1082">
        <f t="shared" ref="M1082:M1084" si="622">+K1082*G1082</f>
        <v>1440</v>
      </c>
      <c r="N1082">
        <f t="shared" ref="N1082:N1084" si="623">+I1082-M1082</f>
        <v>160</v>
      </c>
    </row>
    <row r="1083" spans="1:14" x14ac:dyDescent="0.25">
      <c r="A1083">
        <v>115</v>
      </c>
      <c r="B1083" s="1">
        <v>43896</v>
      </c>
      <c r="C1083" t="s">
        <v>276</v>
      </c>
      <c r="D1083" t="s">
        <v>85</v>
      </c>
      <c r="F1083" t="s">
        <v>216</v>
      </c>
      <c r="G1083">
        <v>1</v>
      </c>
      <c r="H1083">
        <v>900</v>
      </c>
      <c r="I1083">
        <f t="shared" ref="I1083:I1146" si="624">+G1083*H1083</f>
        <v>900</v>
      </c>
      <c r="J1083" t="s">
        <v>167</v>
      </c>
      <c r="K1083">
        <v>440</v>
      </c>
      <c r="M1083">
        <f t="shared" si="622"/>
        <v>440</v>
      </c>
      <c r="N1083">
        <f t="shared" si="623"/>
        <v>460</v>
      </c>
    </row>
    <row r="1084" spans="1:14" x14ac:dyDescent="0.25">
      <c r="A1084">
        <v>116</v>
      </c>
      <c r="B1084" s="1">
        <v>43896</v>
      </c>
      <c r="C1084" t="s">
        <v>276</v>
      </c>
      <c r="D1084" t="s">
        <v>56</v>
      </c>
      <c r="F1084" t="s">
        <v>267</v>
      </c>
      <c r="G1084">
        <v>6</v>
      </c>
      <c r="H1084">
        <v>170</v>
      </c>
      <c r="I1084">
        <f t="shared" si="624"/>
        <v>1020</v>
      </c>
      <c r="J1084" t="s">
        <v>163</v>
      </c>
      <c r="K1084">
        <v>132</v>
      </c>
      <c r="M1084">
        <f t="shared" si="622"/>
        <v>792</v>
      </c>
      <c r="N1084">
        <f t="shared" si="623"/>
        <v>228</v>
      </c>
    </row>
    <row r="1085" spans="1:14" x14ac:dyDescent="0.25">
      <c r="A1085">
        <v>117</v>
      </c>
      <c r="B1085" s="1">
        <v>43896</v>
      </c>
      <c r="C1085" t="s">
        <v>276</v>
      </c>
      <c r="D1085" t="s">
        <v>56</v>
      </c>
      <c r="F1085" t="s">
        <v>38</v>
      </c>
      <c r="G1085">
        <v>2</v>
      </c>
      <c r="H1085">
        <v>120</v>
      </c>
      <c r="I1085">
        <f t="shared" si="624"/>
        <v>240</v>
      </c>
      <c r="J1085" t="s">
        <v>165</v>
      </c>
      <c r="K1085">
        <f t="shared" ref="K1085" si="625">380/12</f>
        <v>31.666666666666668</v>
      </c>
      <c r="M1085">
        <f t="shared" ref="M1085:M1086" si="626">+K1085*G1085</f>
        <v>63.333333333333336</v>
      </c>
      <c r="N1085">
        <f t="shared" ref="N1085:N1086" si="627">+I1085-M1085</f>
        <v>176.66666666666666</v>
      </c>
    </row>
    <row r="1086" spans="1:14" x14ac:dyDescent="0.25">
      <c r="A1086">
        <v>118</v>
      </c>
      <c r="B1086" s="1">
        <v>43897</v>
      </c>
      <c r="C1086" t="s">
        <v>276</v>
      </c>
      <c r="D1086" t="s">
        <v>56</v>
      </c>
      <c r="F1086" t="s">
        <v>267</v>
      </c>
      <c r="G1086">
        <v>4</v>
      </c>
      <c r="H1086">
        <v>170</v>
      </c>
      <c r="I1086">
        <f t="shared" si="624"/>
        <v>680</v>
      </c>
      <c r="J1086" t="s">
        <v>163</v>
      </c>
      <c r="K1086">
        <v>132</v>
      </c>
      <c r="M1086">
        <f t="shared" si="626"/>
        <v>528</v>
      </c>
      <c r="N1086">
        <f t="shared" si="627"/>
        <v>152</v>
      </c>
    </row>
    <row r="1087" spans="1:14" x14ac:dyDescent="0.25">
      <c r="A1087">
        <v>119</v>
      </c>
      <c r="B1087" s="1">
        <v>43897</v>
      </c>
      <c r="C1087" t="s">
        <v>276</v>
      </c>
      <c r="D1087" t="s">
        <v>25</v>
      </c>
      <c r="F1087" t="s">
        <v>58</v>
      </c>
      <c r="G1087">
        <v>2</v>
      </c>
      <c r="H1087">
        <v>60</v>
      </c>
      <c r="I1087">
        <f t="shared" si="624"/>
        <v>120</v>
      </c>
      <c r="J1087" t="s">
        <v>165</v>
      </c>
      <c r="K1087">
        <f t="shared" ref="K1087" si="628">380/12</f>
        <v>31.666666666666668</v>
      </c>
      <c r="M1087">
        <f t="shared" ref="M1087" si="629">+K1087*G1087</f>
        <v>63.333333333333336</v>
      </c>
      <c r="N1087">
        <f t="shared" ref="N1087" si="630">+I1087-M1087</f>
        <v>56.666666666666664</v>
      </c>
    </row>
    <row r="1088" spans="1:14" x14ac:dyDescent="0.25">
      <c r="A1088">
        <v>120</v>
      </c>
      <c r="B1088" s="1">
        <v>43897</v>
      </c>
      <c r="C1088" t="s">
        <v>276</v>
      </c>
      <c r="D1088" t="s">
        <v>92</v>
      </c>
      <c r="F1088" t="s">
        <v>275</v>
      </c>
      <c r="G1088">
        <v>2</v>
      </c>
      <c r="H1088">
        <v>180</v>
      </c>
      <c r="I1088">
        <f t="shared" si="624"/>
        <v>360</v>
      </c>
      <c r="J1088" t="s">
        <v>166</v>
      </c>
    </row>
    <row r="1089" spans="1:14" x14ac:dyDescent="0.25">
      <c r="A1089">
        <v>121</v>
      </c>
      <c r="B1089" s="1">
        <v>43897</v>
      </c>
      <c r="C1089" t="s">
        <v>276</v>
      </c>
      <c r="D1089" t="s">
        <v>70</v>
      </c>
      <c r="F1089" t="s">
        <v>46</v>
      </c>
      <c r="G1089">
        <v>1</v>
      </c>
      <c r="H1089">
        <v>400</v>
      </c>
      <c r="I1089">
        <f t="shared" si="624"/>
        <v>400</v>
      </c>
      <c r="J1089" t="s">
        <v>167</v>
      </c>
      <c r="K1089">
        <v>291</v>
      </c>
      <c r="M1089">
        <f t="shared" ref="M1089:M1090" si="631">+K1089*G1089</f>
        <v>291</v>
      </c>
      <c r="N1089">
        <f t="shared" ref="N1089:N1090" si="632">+I1089-M1089</f>
        <v>109</v>
      </c>
    </row>
    <row r="1090" spans="1:14" x14ac:dyDescent="0.25">
      <c r="A1090">
        <v>122</v>
      </c>
      <c r="B1090" s="1">
        <v>43897</v>
      </c>
      <c r="C1090" t="s">
        <v>276</v>
      </c>
      <c r="D1090" t="s">
        <v>15</v>
      </c>
      <c r="F1090" t="s">
        <v>20</v>
      </c>
      <c r="G1090">
        <v>13</v>
      </c>
      <c r="H1090">
        <v>250</v>
      </c>
      <c r="I1090">
        <f t="shared" si="624"/>
        <v>3250</v>
      </c>
      <c r="J1090" t="s">
        <v>163</v>
      </c>
      <c r="K1090">
        <v>216</v>
      </c>
      <c r="M1090">
        <f t="shared" si="631"/>
        <v>2808</v>
      </c>
      <c r="N1090">
        <f t="shared" si="632"/>
        <v>442</v>
      </c>
    </row>
    <row r="1091" spans="1:14" x14ac:dyDescent="0.25">
      <c r="A1091">
        <v>123</v>
      </c>
      <c r="B1091" s="1">
        <v>43897</v>
      </c>
      <c r="C1091" t="s">
        <v>276</v>
      </c>
      <c r="D1091" t="s">
        <v>24</v>
      </c>
      <c r="F1091" t="s">
        <v>24</v>
      </c>
      <c r="G1091">
        <v>3.2</v>
      </c>
      <c r="H1091">
        <v>100</v>
      </c>
      <c r="I1091">
        <f t="shared" si="624"/>
        <v>320</v>
      </c>
      <c r="J1091" t="s">
        <v>186</v>
      </c>
      <c r="K1091">
        <v>68.22</v>
      </c>
      <c r="M1091">
        <f t="shared" ref="M1091:M1092" si="633">+K1091*G1091</f>
        <v>218.304</v>
      </c>
      <c r="N1091">
        <f t="shared" ref="N1091:N1092" si="634">+I1091-M1091</f>
        <v>101.696</v>
      </c>
    </row>
    <row r="1092" spans="1:14" x14ac:dyDescent="0.25">
      <c r="A1092">
        <v>124</v>
      </c>
      <c r="B1092" s="1">
        <v>43897</v>
      </c>
      <c r="C1092" t="s">
        <v>276</v>
      </c>
      <c r="D1092" t="s">
        <v>56</v>
      </c>
      <c r="F1092" t="s">
        <v>267</v>
      </c>
      <c r="G1092">
        <v>7</v>
      </c>
      <c r="H1092">
        <v>170</v>
      </c>
      <c r="I1092">
        <f t="shared" si="624"/>
        <v>1190</v>
      </c>
      <c r="J1092" t="s">
        <v>163</v>
      </c>
      <c r="K1092">
        <v>132</v>
      </c>
      <c r="M1092">
        <f t="shared" si="633"/>
        <v>924</v>
      </c>
      <c r="N1092">
        <f t="shared" si="634"/>
        <v>266</v>
      </c>
    </row>
    <row r="1093" spans="1:14" x14ac:dyDescent="0.25">
      <c r="A1093">
        <v>125</v>
      </c>
      <c r="B1093" s="1">
        <v>43897</v>
      </c>
      <c r="C1093" t="s">
        <v>276</v>
      </c>
      <c r="D1093" t="s">
        <v>70</v>
      </c>
      <c r="F1093" t="s">
        <v>151</v>
      </c>
      <c r="G1093">
        <v>1</v>
      </c>
      <c r="H1093">
        <v>1800</v>
      </c>
      <c r="I1093">
        <f t="shared" si="624"/>
        <v>1800</v>
      </c>
      <c r="J1093" t="s">
        <v>167</v>
      </c>
      <c r="K1093">
        <v>1580</v>
      </c>
      <c r="M1093">
        <f t="shared" ref="M1093:M1094" si="635">+K1093*G1093</f>
        <v>1580</v>
      </c>
      <c r="N1093">
        <f t="shared" ref="N1093:N1094" si="636">+I1093-M1093</f>
        <v>220</v>
      </c>
    </row>
    <row r="1094" spans="1:14" x14ac:dyDescent="0.25">
      <c r="A1094">
        <v>126</v>
      </c>
      <c r="B1094" s="1">
        <v>43897</v>
      </c>
      <c r="C1094" t="s">
        <v>276</v>
      </c>
      <c r="D1094" t="s">
        <v>44</v>
      </c>
      <c r="F1094" t="s">
        <v>77</v>
      </c>
      <c r="G1094">
        <v>1</v>
      </c>
      <c r="H1094">
        <v>35</v>
      </c>
      <c r="I1094">
        <f t="shared" si="624"/>
        <v>35</v>
      </c>
      <c r="J1094" t="s">
        <v>166</v>
      </c>
      <c r="K1094">
        <v>26</v>
      </c>
      <c r="M1094">
        <f t="shared" si="635"/>
        <v>26</v>
      </c>
      <c r="N1094">
        <f t="shared" si="636"/>
        <v>9</v>
      </c>
    </row>
    <row r="1095" spans="1:14" x14ac:dyDescent="0.25">
      <c r="A1095">
        <v>127</v>
      </c>
      <c r="B1095" s="1">
        <v>43897</v>
      </c>
      <c r="C1095" t="s">
        <v>276</v>
      </c>
      <c r="D1095" t="s">
        <v>55</v>
      </c>
      <c r="F1095" t="s">
        <v>89</v>
      </c>
      <c r="G1095">
        <v>15.5</v>
      </c>
      <c r="H1095">
        <v>298</v>
      </c>
      <c r="I1095">
        <f t="shared" si="624"/>
        <v>4619</v>
      </c>
      <c r="J1095" t="s">
        <v>167</v>
      </c>
      <c r="K1095">
        <v>268</v>
      </c>
      <c r="M1095">
        <f t="shared" ref="M1095:M1096" si="637">+K1095*G1095</f>
        <v>4154</v>
      </c>
      <c r="N1095">
        <f t="shared" ref="N1095:N1096" si="638">+I1095-M1095</f>
        <v>465</v>
      </c>
    </row>
    <row r="1096" spans="1:14" x14ac:dyDescent="0.25">
      <c r="A1096">
        <v>128</v>
      </c>
      <c r="B1096" s="1">
        <v>43897</v>
      </c>
      <c r="C1096" t="s">
        <v>276</v>
      </c>
      <c r="D1096" t="s">
        <v>25</v>
      </c>
      <c r="F1096" t="s">
        <v>147</v>
      </c>
      <c r="G1096">
        <v>1</v>
      </c>
      <c r="H1096">
        <v>60</v>
      </c>
      <c r="I1096">
        <f t="shared" si="624"/>
        <v>60</v>
      </c>
      <c r="J1096" t="s">
        <v>165</v>
      </c>
      <c r="K1096">
        <f t="shared" ref="K1096" si="639">380/12</f>
        <v>31.666666666666668</v>
      </c>
      <c r="M1096">
        <f t="shared" si="637"/>
        <v>31.666666666666668</v>
      </c>
      <c r="N1096">
        <f t="shared" si="638"/>
        <v>28.333333333333332</v>
      </c>
    </row>
    <row r="1097" spans="1:14" x14ac:dyDescent="0.25">
      <c r="A1097">
        <v>129</v>
      </c>
      <c r="B1097" s="1">
        <v>43897</v>
      </c>
      <c r="C1097" t="s">
        <v>276</v>
      </c>
      <c r="D1097" t="s">
        <v>92</v>
      </c>
      <c r="F1097" t="s">
        <v>87</v>
      </c>
      <c r="G1097">
        <v>1</v>
      </c>
      <c r="H1097">
        <v>600</v>
      </c>
      <c r="I1097">
        <f t="shared" si="624"/>
        <v>600</v>
      </c>
      <c r="J1097" t="s">
        <v>167</v>
      </c>
      <c r="K1097">
        <v>360</v>
      </c>
      <c r="M1097">
        <f t="shared" ref="M1097:M1098" si="640">+K1097*G1097</f>
        <v>360</v>
      </c>
      <c r="N1097">
        <f t="shared" ref="N1097:N1098" si="641">+I1097-M1097</f>
        <v>240</v>
      </c>
    </row>
    <row r="1098" spans="1:14" x14ac:dyDescent="0.25">
      <c r="A1098">
        <v>130</v>
      </c>
      <c r="B1098" s="1">
        <v>43897</v>
      </c>
      <c r="C1098" t="s">
        <v>276</v>
      </c>
      <c r="D1098" t="s">
        <v>15</v>
      </c>
      <c r="F1098" t="s">
        <v>54</v>
      </c>
      <c r="G1098">
        <f>2/4.8</f>
        <v>0.41666666666666669</v>
      </c>
      <c r="H1098">
        <v>240</v>
      </c>
      <c r="I1098">
        <f t="shared" si="624"/>
        <v>100</v>
      </c>
      <c r="J1098" t="s">
        <v>163</v>
      </c>
      <c r="K1098">
        <v>214</v>
      </c>
      <c r="M1098">
        <f t="shared" si="640"/>
        <v>89.166666666666671</v>
      </c>
      <c r="N1098">
        <f t="shared" si="641"/>
        <v>10.833333333333329</v>
      </c>
    </row>
    <row r="1099" spans="1:14" x14ac:dyDescent="0.25">
      <c r="A1099">
        <v>131</v>
      </c>
      <c r="B1099" s="1">
        <v>43897</v>
      </c>
      <c r="C1099" t="s">
        <v>276</v>
      </c>
      <c r="D1099" t="s">
        <v>25</v>
      </c>
      <c r="F1099" t="s">
        <v>25</v>
      </c>
      <c r="G1099">
        <v>1</v>
      </c>
      <c r="H1099">
        <v>60</v>
      </c>
      <c r="I1099">
        <f t="shared" si="624"/>
        <v>60</v>
      </c>
      <c r="J1099" t="s">
        <v>165</v>
      </c>
      <c r="K1099">
        <f t="shared" ref="K1099" si="642">380/12</f>
        <v>31.666666666666668</v>
      </c>
      <c r="M1099">
        <f t="shared" ref="M1099:M1101" si="643">+K1099*G1099</f>
        <v>31.666666666666668</v>
      </c>
      <c r="N1099">
        <f t="shared" ref="N1099:N1101" si="644">+I1099-M1099</f>
        <v>28.333333333333332</v>
      </c>
    </row>
    <row r="1100" spans="1:14" x14ac:dyDescent="0.25">
      <c r="A1100">
        <v>132</v>
      </c>
      <c r="B1100" s="1">
        <v>43899</v>
      </c>
      <c r="C1100" t="s">
        <v>276</v>
      </c>
      <c r="D1100" t="s">
        <v>15</v>
      </c>
      <c r="F1100" t="s">
        <v>252</v>
      </c>
      <c r="G1100">
        <f>16/9</f>
        <v>1.7777777777777777</v>
      </c>
      <c r="H1100">
        <v>280</v>
      </c>
      <c r="I1100">
        <f t="shared" si="624"/>
        <v>497.77777777777777</v>
      </c>
      <c r="J1100" t="s">
        <v>163</v>
      </c>
      <c r="K1100">
        <v>215</v>
      </c>
      <c r="M1100">
        <f t="shared" si="643"/>
        <v>382.22222222222223</v>
      </c>
      <c r="N1100">
        <f t="shared" si="644"/>
        <v>115.55555555555554</v>
      </c>
    </row>
    <row r="1101" spans="1:14" x14ac:dyDescent="0.25">
      <c r="A1101">
        <v>133</v>
      </c>
      <c r="B1101" s="1">
        <v>43899</v>
      </c>
      <c r="C1101" t="s">
        <v>276</v>
      </c>
      <c r="D1101" t="s">
        <v>15</v>
      </c>
      <c r="F1101" t="s">
        <v>76</v>
      </c>
      <c r="G1101">
        <f>2/8</f>
        <v>0.25</v>
      </c>
      <c r="H1101">
        <v>230</v>
      </c>
      <c r="I1101">
        <f t="shared" si="624"/>
        <v>57.5</v>
      </c>
      <c r="J1101" t="s">
        <v>163</v>
      </c>
      <c r="K1101">
        <v>196</v>
      </c>
      <c r="M1101">
        <f t="shared" si="643"/>
        <v>49</v>
      </c>
      <c r="N1101">
        <f t="shared" si="644"/>
        <v>8.5</v>
      </c>
    </row>
    <row r="1102" spans="1:14" x14ac:dyDescent="0.25">
      <c r="A1102">
        <v>134</v>
      </c>
      <c r="B1102" s="1">
        <v>43899</v>
      </c>
      <c r="C1102" t="s">
        <v>276</v>
      </c>
      <c r="D1102" t="s">
        <v>25</v>
      </c>
      <c r="F1102" t="s">
        <v>147</v>
      </c>
      <c r="G1102">
        <v>1</v>
      </c>
      <c r="H1102">
        <v>60</v>
      </c>
      <c r="I1102">
        <f t="shared" si="624"/>
        <v>60</v>
      </c>
      <c r="J1102" t="s">
        <v>165</v>
      </c>
      <c r="K1102">
        <f t="shared" ref="K1102" si="645">380/12</f>
        <v>31.666666666666668</v>
      </c>
      <c r="M1102">
        <f t="shared" ref="M1102" si="646">+K1102*G1102</f>
        <v>31.666666666666668</v>
      </c>
      <c r="N1102">
        <f t="shared" ref="N1102" si="647">+I1102-M1102</f>
        <v>28.333333333333332</v>
      </c>
    </row>
    <row r="1103" spans="1:14" x14ac:dyDescent="0.25">
      <c r="A1103">
        <v>135</v>
      </c>
      <c r="B1103" s="1">
        <v>43899</v>
      </c>
      <c r="C1103" t="s">
        <v>276</v>
      </c>
      <c r="D1103" t="s">
        <v>26</v>
      </c>
      <c r="F1103" t="s">
        <v>47</v>
      </c>
      <c r="G1103">
        <v>100</v>
      </c>
      <c r="H1103">
        <v>370</v>
      </c>
      <c r="I1103">
        <f t="shared" si="624"/>
        <v>37000</v>
      </c>
      <c r="J1103" t="s">
        <v>99</v>
      </c>
      <c r="K1103">
        <v>347</v>
      </c>
      <c r="M1103">
        <f>(+K1103*G1103)+500</f>
        <v>35200</v>
      </c>
      <c r="N1103">
        <f t="shared" ref="N1103:N1104" si="648">+I1103-M1103</f>
        <v>1800</v>
      </c>
    </row>
    <row r="1104" spans="1:14" x14ac:dyDescent="0.25">
      <c r="A1104">
        <v>136</v>
      </c>
      <c r="B1104" s="1">
        <v>43899</v>
      </c>
      <c r="C1104" t="s">
        <v>276</v>
      </c>
      <c r="D1104" t="s">
        <v>56</v>
      </c>
      <c r="F1104" t="s">
        <v>176</v>
      </c>
      <c r="G1104">
        <v>25</v>
      </c>
      <c r="H1104">
        <v>260</v>
      </c>
      <c r="I1104">
        <f t="shared" si="624"/>
        <v>6500</v>
      </c>
      <c r="J1104" t="s">
        <v>27</v>
      </c>
      <c r="K1104">
        <v>202</v>
      </c>
      <c r="M1104">
        <f t="shared" ref="M1104" si="649">+K1104*G1104</f>
        <v>5050</v>
      </c>
      <c r="N1104">
        <f t="shared" si="648"/>
        <v>1450</v>
      </c>
    </row>
    <row r="1105" spans="1:14" x14ac:dyDescent="0.25">
      <c r="A1105">
        <v>137</v>
      </c>
      <c r="B1105" s="1">
        <v>43899</v>
      </c>
      <c r="C1105" t="s">
        <v>276</v>
      </c>
      <c r="D1105" t="s">
        <v>25</v>
      </c>
      <c r="F1105" t="s">
        <v>58</v>
      </c>
      <c r="G1105">
        <v>5</v>
      </c>
      <c r="H1105">
        <v>60</v>
      </c>
      <c r="I1105">
        <f t="shared" si="624"/>
        <v>300</v>
      </c>
      <c r="J1105" t="s">
        <v>165</v>
      </c>
      <c r="K1105">
        <f t="shared" ref="K1105" si="650">380/12</f>
        <v>31.666666666666668</v>
      </c>
      <c r="M1105">
        <f t="shared" ref="M1105:M1108" si="651">+K1105*G1105</f>
        <v>158.33333333333334</v>
      </c>
      <c r="N1105">
        <f t="shared" ref="N1105:N1108" si="652">+I1105-M1105</f>
        <v>141.66666666666666</v>
      </c>
    </row>
    <row r="1106" spans="1:14" x14ac:dyDescent="0.25">
      <c r="A1106">
        <v>138</v>
      </c>
      <c r="B1106" s="1">
        <v>43899</v>
      </c>
      <c r="C1106" t="s">
        <v>276</v>
      </c>
      <c r="D1106" t="s">
        <v>44</v>
      </c>
      <c r="F1106" t="s">
        <v>138</v>
      </c>
      <c r="G1106">
        <v>3</v>
      </c>
      <c r="H1106">
        <v>35</v>
      </c>
      <c r="I1106">
        <f t="shared" si="624"/>
        <v>105</v>
      </c>
      <c r="J1106" t="s">
        <v>166</v>
      </c>
      <c r="K1106">
        <v>26</v>
      </c>
      <c r="M1106">
        <f t="shared" si="651"/>
        <v>78</v>
      </c>
      <c r="N1106">
        <f t="shared" si="652"/>
        <v>27</v>
      </c>
    </row>
    <row r="1107" spans="1:14" x14ac:dyDescent="0.25">
      <c r="A1107">
        <v>139</v>
      </c>
      <c r="B1107" s="1">
        <v>43899</v>
      </c>
      <c r="C1107" t="s">
        <v>276</v>
      </c>
      <c r="D1107" t="s">
        <v>23</v>
      </c>
      <c r="F1107" t="s">
        <v>215</v>
      </c>
      <c r="G1107">
        <v>5</v>
      </c>
      <c r="H1107">
        <v>35</v>
      </c>
      <c r="I1107">
        <f t="shared" si="624"/>
        <v>175</v>
      </c>
      <c r="J1107" t="s">
        <v>187</v>
      </c>
      <c r="K1107">
        <v>26</v>
      </c>
      <c r="M1107">
        <f t="shared" si="651"/>
        <v>130</v>
      </c>
      <c r="N1107">
        <f t="shared" si="652"/>
        <v>45</v>
      </c>
    </row>
    <row r="1108" spans="1:14" x14ac:dyDescent="0.25">
      <c r="A1108">
        <v>140</v>
      </c>
      <c r="B1108" s="1">
        <v>43899</v>
      </c>
      <c r="C1108" t="s">
        <v>276</v>
      </c>
      <c r="D1108" t="s">
        <v>15</v>
      </c>
      <c r="F1108" t="s">
        <v>20</v>
      </c>
      <c r="G1108">
        <v>15</v>
      </c>
      <c r="H1108">
        <v>250</v>
      </c>
      <c r="I1108">
        <f t="shared" si="624"/>
        <v>3750</v>
      </c>
      <c r="J1108" t="s">
        <v>163</v>
      </c>
      <c r="K1108">
        <v>216</v>
      </c>
      <c r="M1108">
        <f t="shared" si="651"/>
        <v>3240</v>
      </c>
      <c r="N1108">
        <f t="shared" si="652"/>
        <v>510</v>
      </c>
    </row>
    <row r="1109" spans="1:14" x14ac:dyDescent="0.25">
      <c r="A1109">
        <v>141</v>
      </c>
      <c r="B1109" s="1">
        <v>43899</v>
      </c>
      <c r="C1109" t="s">
        <v>276</v>
      </c>
      <c r="D1109" t="s">
        <v>55</v>
      </c>
      <c r="F1109" t="s">
        <v>22</v>
      </c>
      <c r="G1109">
        <v>3.5</v>
      </c>
      <c r="H1109">
        <v>300</v>
      </c>
      <c r="I1109">
        <f t="shared" si="624"/>
        <v>1050</v>
      </c>
      <c r="J1109" t="s">
        <v>167</v>
      </c>
      <c r="K1109">
        <v>268</v>
      </c>
      <c r="M1109">
        <f t="shared" ref="M1109:M1110" si="653">+K1109*G1109</f>
        <v>938</v>
      </c>
      <c r="N1109">
        <f t="shared" ref="N1109:N1110" si="654">+I1109-M1109</f>
        <v>112</v>
      </c>
    </row>
    <row r="1110" spans="1:14" x14ac:dyDescent="0.25">
      <c r="A1110">
        <v>142</v>
      </c>
      <c r="B1110" s="1">
        <v>43899</v>
      </c>
      <c r="C1110" t="s">
        <v>276</v>
      </c>
      <c r="D1110" t="s">
        <v>56</v>
      </c>
      <c r="F1110" t="s">
        <v>267</v>
      </c>
      <c r="G1110">
        <v>4</v>
      </c>
      <c r="H1110">
        <v>170</v>
      </c>
      <c r="I1110">
        <f t="shared" si="624"/>
        <v>680</v>
      </c>
      <c r="J1110" t="s">
        <v>163</v>
      </c>
      <c r="K1110">
        <v>132</v>
      </c>
      <c r="M1110">
        <f t="shared" si="653"/>
        <v>528</v>
      </c>
      <c r="N1110">
        <f t="shared" si="654"/>
        <v>152</v>
      </c>
    </row>
    <row r="1111" spans="1:14" x14ac:dyDescent="0.25">
      <c r="A1111">
        <v>143</v>
      </c>
      <c r="B1111" s="1">
        <v>43899</v>
      </c>
      <c r="C1111" t="s">
        <v>276</v>
      </c>
      <c r="D1111" t="s">
        <v>44</v>
      </c>
      <c r="F1111" t="s">
        <v>138</v>
      </c>
      <c r="G1111">
        <v>2</v>
      </c>
      <c r="H1111">
        <v>35</v>
      </c>
      <c r="I1111">
        <f t="shared" si="624"/>
        <v>70</v>
      </c>
      <c r="J1111" t="s">
        <v>166</v>
      </c>
      <c r="K1111">
        <v>26</v>
      </c>
      <c r="M1111">
        <f t="shared" ref="M1111" si="655">+K1111*G1111</f>
        <v>52</v>
      </c>
      <c r="N1111">
        <f t="shared" ref="N1111" si="656">+I1111-M1111</f>
        <v>18</v>
      </c>
    </row>
    <row r="1112" spans="1:14" x14ac:dyDescent="0.25">
      <c r="A1112">
        <v>144</v>
      </c>
      <c r="B1112" s="1">
        <v>43899</v>
      </c>
      <c r="C1112" t="s">
        <v>276</v>
      </c>
      <c r="D1112" t="s">
        <v>24</v>
      </c>
      <c r="F1112" t="s">
        <v>24</v>
      </c>
      <c r="G1112">
        <v>6.4</v>
      </c>
      <c r="H1112">
        <v>100</v>
      </c>
      <c r="I1112">
        <f t="shared" si="624"/>
        <v>640</v>
      </c>
      <c r="J1112" t="s">
        <v>186</v>
      </c>
      <c r="K1112">
        <v>68.22</v>
      </c>
      <c r="M1112">
        <f t="shared" ref="M1112:M1114" si="657">+K1112*G1112</f>
        <v>436.608</v>
      </c>
      <c r="N1112">
        <f t="shared" ref="N1112:N1114" si="658">+I1112-M1112</f>
        <v>203.392</v>
      </c>
    </row>
    <row r="1113" spans="1:14" x14ac:dyDescent="0.25">
      <c r="A1113">
        <v>145</v>
      </c>
      <c r="B1113" s="1">
        <v>43899</v>
      </c>
      <c r="C1113" t="s">
        <v>276</v>
      </c>
      <c r="D1113" t="s">
        <v>55</v>
      </c>
      <c r="F1113" t="s">
        <v>22</v>
      </c>
      <c r="G1113">
        <v>1</v>
      </c>
      <c r="H1113">
        <v>300</v>
      </c>
      <c r="I1113">
        <f t="shared" si="624"/>
        <v>300</v>
      </c>
      <c r="J1113" t="s">
        <v>167</v>
      </c>
      <c r="K1113">
        <v>268</v>
      </c>
      <c r="M1113">
        <f t="shared" si="657"/>
        <v>268</v>
      </c>
      <c r="N1113">
        <f t="shared" si="658"/>
        <v>32</v>
      </c>
    </row>
    <row r="1114" spans="1:14" x14ac:dyDescent="0.25">
      <c r="A1114">
        <v>146</v>
      </c>
      <c r="B1114" s="1">
        <v>43899</v>
      </c>
      <c r="C1114" t="s">
        <v>276</v>
      </c>
      <c r="D1114" t="s">
        <v>25</v>
      </c>
      <c r="F1114" t="s">
        <v>147</v>
      </c>
      <c r="G1114">
        <v>1</v>
      </c>
      <c r="H1114">
        <v>60</v>
      </c>
      <c r="I1114">
        <f t="shared" si="624"/>
        <v>60</v>
      </c>
      <c r="J1114" t="s">
        <v>165</v>
      </c>
      <c r="K1114">
        <f t="shared" ref="K1114" si="659">380/12</f>
        <v>31.666666666666668</v>
      </c>
      <c r="M1114">
        <f t="shared" si="657"/>
        <v>31.666666666666668</v>
      </c>
      <c r="N1114">
        <f t="shared" si="658"/>
        <v>28.333333333333332</v>
      </c>
    </row>
    <row r="1115" spans="1:14" x14ac:dyDescent="0.25">
      <c r="A1115">
        <v>147</v>
      </c>
      <c r="B1115" s="1">
        <v>43899</v>
      </c>
      <c r="C1115" t="s">
        <v>276</v>
      </c>
      <c r="D1115" t="s">
        <v>70</v>
      </c>
      <c r="F1115" t="s">
        <v>227</v>
      </c>
      <c r="G1115">
        <v>1</v>
      </c>
      <c r="H1115">
        <v>1650</v>
      </c>
      <c r="I1115">
        <f t="shared" si="624"/>
        <v>1650</v>
      </c>
      <c r="J1115" t="s">
        <v>167</v>
      </c>
      <c r="K1115">
        <v>1440</v>
      </c>
      <c r="M1115">
        <f t="shared" ref="M1115:M1117" si="660">+K1115*G1115</f>
        <v>1440</v>
      </c>
      <c r="N1115">
        <f t="shared" ref="N1115:N1117" si="661">+I1115-M1115</f>
        <v>210</v>
      </c>
    </row>
    <row r="1116" spans="1:14" x14ac:dyDescent="0.25">
      <c r="A1116">
        <v>148</v>
      </c>
      <c r="B1116" s="1">
        <v>43899</v>
      </c>
      <c r="C1116" t="s">
        <v>276</v>
      </c>
      <c r="D1116" t="s">
        <v>15</v>
      </c>
      <c r="F1116" t="s">
        <v>234</v>
      </c>
      <c r="G1116">
        <v>5.8</v>
      </c>
      <c r="H1116">
        <v>240</v>
      </c>
      <c r="I1116">
        <f t="shared" si="624"/>
        <v>1392</v>
      </c>
      <c r="J1116" t="s">
        <v>163</v>
      </c>
      <c r="K1116">
        <v>215</v>
      </c>
      <c r="M1116">
        <f t="shared" si="660"/>
        <v>1247</v>
      </c>
      <c r="N1116">
        <f t="shared" si="661"/>
        <v>145</v>
      </c>
    </row>
    <row r="1117" spans="1:14" x14ac:dyDescent="0.25">
      <c r="A1117">
        <v>149</v>
      </c>
      <c r="B1117" s="1">
        <v>43899</v>
      </c>
      <c r="C1117" t="s">
        <v>276</v>
      </c>
      <c r="D1117" t="s">
        <v>15</v>
      </c>
      <c r="F1117" t="s">
        <v>29</v>
      </c>
      <c r="G1117">
        <f>6/9</f>
        <v>0.66666666666666663</v>
      </c>
      <c r="H1117">
        <v>230</v>
      </c>
      <c r="I1117">
        <f t="shared" si="624"/>
        <v>153.33333333333331</v>
      </c>
      <c r="J1117" t="s">
        <v>163</v>
      </c>
      <c r="K1117">
        <v>196</v>
      </c>
      <c r="M1117">
        <f t="shared" si="660"/>
        <v>130.66666666666666</v>
      </c>
      <c r="N1117">
        <f t="shared" si="661"/>
        <v>22.666666666666657</v>
      </c>
    </row>
    <row r="1118" spans="1:14" x14ac:dyDescent="0.25">
      <c r="A1118">
        <v>150</v>
      </c>
      <c r="B1118" s="1">
        <v>43899</v>
      </c>
      <c r="C1118" t="s">
        <v>276</v>
      </c>
      <c r="D1118" t="s">
        <v>25</v>
      </c>
      <c r="F1118" t="s">
        <v>148</v>
      </c>
      <c r="G1118">
        <v>1</v>
      </c>
      <c r="H1118">
        <v>60</v>
      </c>
      <c r="I1118">
        <f t="shared" si="624"/>
        <v>60</v>
      </c>
      <c r="J1118" t="s">
        <v>165</v>
      </c>
      <c r="K1118">
        <f t="shared" ref="K1118" si="662">380/12</f>
        <v>31.666666666666668</v>
      </c>
      <c r="M1118">
        <f t="shared" ref="M1118:M1122" si="663">+K1118*G1118</f>
        <v>31.666666666666668</v>
      </c>
      <c r="N1118">
        <f t="shared" ref="N1118:N1122" si="664">+I1118-M1118</f>
        <v>28.333333333333332</v>
      </c>
    </row>
    <row r="1119" spans="1:14" x14ac:dyDescent="0.25">
      <c r="A1119">
        <v>151</v>
      </c>
      <c r="B1119" s="1">
        <v>43899</v>
      </c>
      <c r="C1119" t="s">
        <v>276</v>
      </c>
      <c r="D1119" t="s">
        <v>15</v>
      </c>
      <c r="F1119" t="s">
        <v>219</v>
      </c>
      <c r="G1119">
        <v>3</v>
      </c>
      <c r="H1119">
        <v>230</v>
      </c>
      <c r="I1119">
        <f t="shared" si="624"/>
        <v>690</v>
      </c>
      <c r="J1119" t="s">
        <v>163</v>
      </c>
      <c r="K1119">
        <v>196</v>
      </c>
      <c r="M1119">
        <f t="shared" si="663"/>
        <v>588</v>
      </c>
      <c r="N1119">
        <f t="shared" si="664"/>
        <v>102</v>
      </c>
    </row>
    <row r="1120" spans="1:14" x14ac:dyDescent="0.25">
      <c r="A1120">
        <v>152</v>
      </c>
      <c r="B1120" s="1">
        <v>43899</v>
      </c>
      <c r="C1120" t="s">
        <v>276</v>
      </c>
      <c r="D1120" t="s">
        <v>15</v>
      </c>
      <c r="F1120" t="s">
        <v>54</v>
      </c>
      <c r="G1120">
        <f>17/4.32</f>
        <v>3.9351851851851851</v>
      </c>
      <c r="H1120">
        <v>240</v>
      </c>
      <c r="I1120">
        <f t="shared" si="624"/>
        <v>944.44444444444446</v>
      </c>
      <c r="J1120" t="s">
        <v>163</v>
      </c>
      <c r="K1120">
        <v>214</v>
      </c>
      <c r="M1120">
        <f t="shared" si="663"/>
        <v>842.12962962962956</v>
      </c>
      <c r="N1120">
        <f t="shared" si="664"/>
        <v>102.31481481481489</v>
      </c>
    </row>
    <row r="1121" spans="1:14" x14ac:dyDescent="0.25">
      <c r="A1121">
        <v>153</v>
      </c>
      <c r="B1121" s="1">
        <v>43899</v>
      </c>
      <c r="C1121" t="s">
        <v>276</v>
      </c>
      <c r="D1121" t="s">
        <v>15</v>
      </c>
      <c r="F1121" t="s">
        <v>29</v>
      </c>
      <c r="G1121">
        <v>14</v>
      </c>
      <c r="H1121">
        <v>230</v>
      </c>
      <c r="I1121">
        <f t="shared" si="624"/>
        <v>3220</v>
      </c>
      <c r="J1121" t="s">
        <v>163</v>
      </c>
      <c r="K1121">
        <v>196</v>
      </c>
      <c r="M1121">
        <f t="shared" si="663"/>
        <v>2744</v>
      </c>
      <c r="N1121">
        <f t="shared" si="664"/>
        <v>476</v>
      </c>
    </row>
    <row r="1122" spans="1:14" x14ac:dyDescent="0.25">
      <c r="A1122">
        <v>154</v>
      </c>
      <c r="B1122" s="1">
        <v>43899</v>
      </c>
      <c r="C1122" t="s">
        <v>276</v>
      </c>
      <c r="D1122" t="s">
        <v>56</v>
      </c>
      <c r="F1122" t="s">
        <v>267</v>
      </c>
      <c r="G1122">
        <v>8</v>
      </c>
      <c r="H1122">
        <v>170</v>
      </c>
      <c r="I1122">
        <f t="shared" si="624"/>
        <v>1360</v>
      </c>
      <c r="J1122" t="s">
        <v>163</v>
      </c>
      <c r="K1122">
        <v>132</v>
      </c>
      <c r="M1122">
        <f t="shared" si="663"/>
        <v>1056</v>
      </c>
      <c r="N1122">
        <f t="shared" si="664"/>
        <v>304</v>
      </c>
    </row>
    <row r="1123" spans="1:14" x14ac:dyDescent="0.25">
      <c r="A1123">
        <v>155</v>
      </c>
      <c r="B1123" s="1">
        <v>43899</v>
      </c>
      <c r="C1123" t="s">
        <v>276</v>
      </c>
      <c r="D1123" t="s">
        <v>44</v>
      </c>
      <c r="F1123" t="s">
        <v>133</v>
      </c>
      <c r="G1123">
        <v>1</v>
      </c>
      <c r="H1123">
        <v>35</v>
      </c>
      <c r="I1123">
        <f t="shared" si="624"/>
        <v>35</v>
      </c>
      <c r="J1123" t="s">
        <v>166</v>
      </c>
      <c r="K1123">
        <v>26</v>
      </c>
      <c r="M1123">
        <f t="shared" ref="M1123:M1124" si="665">+K1123*G1123</f>
        <v>26</v>
      </c>
      <c r="N1123">
        <f t="shared" ref="N1123:N1124" si="666">+I1123-M1123</f>
        <v>9</v>
      </c>
    </row>
    <row r="1124" spans="1:14" x14ac:dyDescent="0.25">
      <c r="A1124">
        <v>156</v>
      </c>
      <c r="B1124" s="1">
        <v>43899</v>
      </c>
      <c r="C1124" t="s">
        <v>276</v>
      </c>
      <c r="D1124" t="s">
        <v>23</v>
      </c>
      <c r="F1124" t="s">
        <v>215</v>
      </c>
      <c r="G1124">
        <v>1</v>
      </c>
      <c r="H1124">
        <v>35</v>
      </c>
      <c r="I1124">
        <f t="shared" si="624"/>
        <v>35</v>
      </c>
      <c r="J1124" t="s">
        <v>187</v>
      </c>
      <c r="K1124">
        <v>26</v>
      </c>
      <c r="M1124">
        <f t="shared" si="665"/>
        <v>26</v>
      </c>
      <c r="N1124">
        <f t="shared" si="666"/>
        <v>9</v>
      </c>
    </row>
    <row r="1125" spans="1:14" x14ac:dyDescent="0.25">
      <c r="A1125">
        <v>157</v>
      </c>
      <c r="B1125" s="1">
        <v>43899</v>
      </c>
      <c r="C1125" t="s">
        <v>276</v>
      </c>
      <c r="D1125" t="s">
        <v>25</v>
      </c>
      <c r="F1125" t="s">
        <v>130</v>
      </c>
      <c r="G1125">
        <v>1</v>
      </c>
      <c r="H1125">
        <v>60</v>
      </c>
      <c r="I1125">
        <f t="shared" si="624"/>
        <v>60</v>
      </c>
      <c r="J1125" t="s">
        <v>165</v>
      </c>
      <c r="K1125">
        <f t="shared" ref="K1125:K1127" si="667">380/12</f>
        <v>31.666666666666668</v>
      </c>
      <c r="M1125">
        <f t="shared" ref="M1125:M1128" si="668">+K1125*G1125</f>
        <v>31.666666666666668</v>
      </c>
      <c r="N1125">
        <f t="shared" ref="N1125:N1128" si="669">+I1125-M1125</f>
        <v>28.333333333333332</v>
      </c>
    </row>
    <row r="1126" spans="1:14" x14ac:dyDescent="0.25">
      <c r="A1126">
        <v>158</v>
      </c>
      <c r="B1126" s="1">
        <v>43899</v>
      </c>
      <c r="C1126" t="s">
        <v>276</v>
      </c>
      <c r="D1126" t="s">
        <v>25</v>
      </c>
      <c r="F1126" t="s">
        <v>130</v>
      </c>
      <c r="G1126">
        <v>1</v>
      </c>
      <c r="H1126">
        <v>60</v>
      </c>
      <c r="I1126">
        <f t="shared" si="624"/>
        <v>60</v>
      </c>
      <c r="J1126" t="s">
        <v>165</v>
      </c>
      <c r="K1126">
        <f t="shared" si="667"/>
        <v>31.666666666666668</v>
      </c>
      <c r="M1126">
        <f t="shared" si="668"/>
        <v>31.666666666666668</v>
      </c>
      <c r="N1126">
        <f t="shared" si="669"/>
        <v>28.333333333333332</v>
      </c>
    </row>
    <row r="1127" spans="1:14" x14ac:dyDescent="0.25">
      <c r="A1127">
        <v>159</v>
      </c>
      <c r="B1127" s="1">
        <v>43899</v>
      </c>
      <c r="C1127" t="s">
        <v>276</v>
      </c>
      <c r="D1127" t="s">
        <v>25</v>
      </c>
      <c r="F1127" t="s">
        <v>148</v>
      </c>
      <c r="G1127">
        <v>2</v>
      </c>
      <c r="H1127">
        <v>60</v>
      </c>
      <c r="I1127">
        <f t="shared" si="624"/>
        <v>120</v>
      </c>
      <c r="J1127" t="s">
        <v>165</v>
      </c>
      <c r="K1127">
        <f t="shared" si="667"/>
        <v>31.666666666666668</v>
      </c>
      <c r="M1127">
        <f t="shared" si="668"/>
        <v>63.333333333333336</v>
      </c>
      <c r="N1127">
        <f t="shared" si="669"/>
        <v>56.666666666666664</v>
      </c>
    </row>
    <row r="1128" spans="1:14" x14ac:dyDescent="0.25">
      <c r="A1128">
        <v>160</v>
      </c>
      <c r="B1128" s="1">
        <v>43899</v>
      </c>
      <c r="C1128" t="s">
        <v>276</v>
      </c>
      <c r="D1128" t="s">
        <v>15</v>
      </c>
      <c r="F1128" t="s">
        <v>204</v>
      </c>
      <c r="G1128">
        <f>6/9</f>
        <v>0.66666666666666663</v>
      </c>
      <c r="H1128">
        <v>300</v>
      </c>
      <c r="I1128">
        <f t="shared" si="624"/>
        <v>200</v>
      </c>
      <c r="J1128" t="s">
        <v>163</v>
      </c>
      <c r="K1128">
        <v>271</v>
      </c>
      <c r="M1128">
        <f t="shared" si="668"/>
        <v>180.66666666666666</v>
      </c>
      <c r="N1128">
        <f t="shared" si="669"/>
        <v>19.333333333333343</v>
      </c>
    </row>
    <row r="1129" spans="1:14" x14ac:dyDescent="0.25">
      <c r="A1129">
        <v>161</v>
      </c>
      <c r="B1129" s="1">
        <v>43900</v>
      </c>
      <c r="C1129" t="s">
        <v>276</v>
      </c>
      <c r="D1129" t="s">
        <v>70</v>
      </c>
      <c r="F1129" t="s">
        <v>290</v>
      </c>
      <c r="G1129">
        <v>1</v>
      </c>
      <c r="H1129">
        <v>400</v>
      </c>
      <c r="I1129">
        <f t="shared" si="624"/>
        <v>400</v>
      </c>
      <c r="J1129" t="s">
        <v>167</v>
      </c>
      <c r="K1129">
        <v>334</v>
      </c>
      <c r="M1129">
        <f t="shared" ref="M1129:M1131" si="670">+K1129*G1129</f>
        <v>334</v>
      </c>
      <c r="N1129">
        <f t="shared" ref="N1129:N1131" si="671">+I1129-M1129</f>
        <v>66</v>
      </c>
    </row>
    <row r="1130" spans="1:14" x14ac:dyDescent="0.25">
      <c r="A1130">
        <v>162</v>
      </c>
      <c r="B1130" s="1">
        <v>43900</v>
      </c>
      <c r="C1130" t="s">
        <v>276</v>
      </c>
      <c r="D1130" t="s">
        <v>15</v>
      </c>
      <c r="F1130" t="s">
        <v>29</v>
      </c>
      <c r="G1130">
        <f>7/9</f>
        <v>0.77777777777777779</v>
      </c>
      <c r="H1130">
        <v>230</v>
      </c>
      <c r="I1130">
        <f t="shared" si="624"/>
        <v>178.88888888888889</v>
      </c>
      <c r="J1130" t="s">
        <v>163</v>
      </c>
      <c r="K1130">
        <v>196</v>
      </c>
      <c r="M1130">
        <f t="shared" si="670"/>
        <v>152.44444444444446</v>
      </c>
      <c r="N1130">
        <f t="shared" si="671"/>
        <v>26.444444444444429</v>
      </c>
    </row>
    <row r="1131" spans="1:14" x14ac:dyDescent="0.25">
      <c r="A1131">
        <v>163</v>
      </c>
      <c r="B1131" s="1">
        <v>43900</v>
      </c>
      <c r="C1131" t="s">
        <v>276</v>
      </c>
      <c r="D1131" t="s">
        <v>15</v>
      </c>
      <c r="F1131" t="s">
        <v>252</v>
      </c>
      <c r="G1131">
        <f>1/9</f>
        <v>0.1111111111111111</v>
      </c>
      <c r="H1131">
        <v>280</v>
      </c>
      <c r="I1131">
        <f t="shared" si="624"/>
        <v>31.111111111111111</v>
      </c>
      <c r="J1131" t="s">
        <v>163</v>
      </c>
      <c r="K1131">
        <v>215</v>
      </c>
      <c r="M1131">
        <f t="shared" si="670"/>
        <v>23.888888888888889</v>
      </c>
      <c r="N1131">
        <f t="shared" si="671"/>
        <v>7.2222222222222214</v>
      </c>
    </row>
    <row r="1132" spans="1:14" x14ac:dyDescent="0.25">
      <c r="A1132">
        <v>164</v>
      </c>
      <c r="B1132" s="1">
        <v>43900</v>
      </c>
      <c r="C1132" t="s">
        <v>276</v>
      </c>
      <c r="D1132" t="s">
        <v>25</v>
      </c>
      <c r="F1132" t="s">
        <v>130</v>
      </c>
      <c r="G1132">
        <v>2</v>
      </c>
      <c r="H1132">
        <v>60</v>
      </c>
      <c r="I1132">
        <f t="shared" si="624"/>
        <v>120</v>
      </c>
      <c r="J1132" t="s">
        <v>165</v>
      </c>
      <c r="K1132">
        <f t="shared" ref="K1132" si="672">380/12</f>
        <v>31.666666666666668</v>
      </c>
      <c r="M1132">
        <f t="shared" ref="M1132:M1134" si="673">+K1132*G1132</f>
        <v>63.333333333333336</v>
      </c>
      <c r="N1132">
        <f t="shared" ref="N1132:N1134" si="674">+I1132-M1132</f>
        <v>56.666666666666664</v>
      </c>
    </row>
    <row r="1133" spans="1:14" x14ac:dyDescent="0.25">
      <c r="A1133">
        <v>165</v>
      </c>
      <c r="B1133" s="1">
        <v>43900</v>
      </c>
      <c r="C1133" t="s">
        <v>276</v>
      </c>
      <c r="D1133" t="s">
        <v>44</v>
      </c>
      <c r="F1133" t="s">
        <v>133</v>
      </c>
      <c r="G1133">
        <v>1</v>
      </c>
      <c r="H1133">
        <v>35</v>
      </c>
      <c r="I1133">
        <f t="shared" si="624"/>
        <v>35</v>
      </c>
      <c r="J1133" t="s">
        <v>166</v>
      </c>
      <c r="K1133">
        <v>26</v>
      </c>
      <c r="M1133">
        <f t="shared" si="673"/>
        <v>26</v>
      </c>
      <c r="N1133">
        <f t="shared" si="674"/>
        <v>9</v>
      </c>
    </row>
    <row r="1134" spans="1:14" x14ac:dyDescent="0.25">
      <c r="A1134">
        <v>166</v>
      </c>
      <c r="B1134" s="1">
        <v>43900</v>
      </c>
      <c r="C1134" t="s">
        <v>276</v>
      </c>
      <c r="D1134" t="s">
        <v>15</v>
      </c>
      <c r="F1134" t="s">
        <v>219</v>
      </c>
      <c r="G1134">
        <v>3</v>
      </c>
      <c r="H1134">
        <v>230</v>
      </c>
      <c r="I1134">
        <f t="shared" si="624"/>
        <v>690</v>
      </c>
      <c r="J1134" t="s">
        <v>163</v>
      </c>
      <c r="K1134">
        <v>196</v>
      </c>
      <c r="M1134">
        <f t="shared" si="673"/>
        <v>588</v>
      </c>
      <c r="N1134">
        <f t="shared" si="674"/>
        <v>102</v>
      </c>
    </row>
    <row r="1135" spans="1:14" x14ac:dyDescent="0.25">
      <c r="A1135">
        <v>167</v>
      </c>
      <c r="B1135" s="1">
        <v>43900</v>
      </c>
      <c r="C1135" t="s">
        <v>276</v>
      </c>
      <c r="D1135" t="s">
        <v>70</v>
      </c>
      <c r="F1135" t="s">
        <v>269</v>
      </c>
      <c r="G1135">
        <v>1</v>
      </c>
      <c r="H1135">
        <v>1900</v>
      </c>
      <c r="I1135">
        <f t="shared" si="624"/>
        <v>1900</v>
      </c>
      <c r="J1135" t="s">
        <v>167</v>
      </c>
      <c r="K1135">
        <v>1672</v>
      </c>
      <c r="M1135">
        <f t="shared" ref="M1135" si="675">+K1135*G1135</f>
        <v>1672</v>
      </c>
      <c r="N1135">
        <f t="shared" ref="N1135" si="676">+I1135-M1135</f>
        <v>228</v>
      </c>
    </row>
    <row r="1136" spans="1:14" x14ac:dyDescent="0.25">
      <c r="A1136">
        <v>168</v>
      </c>
      <c r="B1136" s="1">
        <v>43900</v>
      </c>
      <c r="C1136" t="s">
        <v>276</v>
      </c>
      <c r="D1136" t="s">
        <v>70</v>
      </c>
      <c r="F1136" t="s">
        <v>291</v>
      </c>
      <c r="G1136">
        <v>1</v>
      </c>
      <c r="H1136">
        <v>20</v>
      </c>
      <c r="I1136">
        <f t="shared" si="624"/>
        <v>20</v>
      </c>
      <c r="J1136" t="s">
        <v>166</v>
      </c>
    </row>
    <row r="1137" spans="1:14" x14ac:dyDescent="0.25">
      <c r="A1137">
        <v>169</v>
      </c>
      <c r="B1137" s="1">
        <v>43900</v>
      </c>
      <c r="C1137" t="s">
        <v>276</v>
      </c>
      <c r="D1137" t="s">
        <v>15</v>
      </c>
      <c r="F1137" t="s">
        <v>76</v>
      </c>
      <c r="G1137">
        <v>8</v>
      </c>
      <c r="H1137">
        <v>230</v>
      </c>
      <c r="I1137">
        <f t="shared" si="624"/>
        <v>1840</v>
      </c>
      <c r="J1137" t="s">
        <v>163</v>
      </c>
      <c r="K1137">
        <v>196</v>
      </c>
      <c r="M1137">
        <f t="shared" ref="M1137:M1138" si="677">+K1137*G1137</f>
        <v>1568</v>
      </c>
      <c r="N1137">
        <f t="shared" ref="N1137:N1138" si="678">+I1137-M1137</f>
        <v>272</v>
      </c>
    </row>
    <row r="1138" spans="1:14" x14ac:dyDescent="0.25">
      <c r="A1138">
        <v>170</v>
      </c>
      <c r="B1138" s="1">
        <v>43900</v>
      </c>
      <c r="C1138" t="s">
        <v>276</v>
      </c>
      <c r="D1138" t="s">
        <v>56</v>
      </c>
      <c r="F1138" t="s">
        <v>267</v>
      </c>
      <c r="G1138">
        <v>2</v>
      </c>
      <c r="H1138">
        <v>170</v>
      </c>
      <c r="I1138">
        <f t="shared" si="624"/>
        <v>340</v>
      </c>
      <c r="J1138" t="s">
        <v>163</v>
      </c>
      <c r="K1138">
        <v>132</v>
      </c>
      <c r="M1138">
        <f t="shared" si="677"/>
        <v>264</v>
      </c>
      <c r="N1138">
        <f t="shared" si="678"/>
        <v>76</v>
      </c>
    </row>
    <row r="1139" spans="1:14" x14ac:dyDescent="0.25">
      <c r="A1139">
        <v>171</v>
      </c>
      <c r="B1139" s="1">
        <v>43900</v>
      </c>
      <c r="C1139" t="s">
        <v>276</v>
      </c>
      <c r="D1139" t="s">
        <v>25</v>
      </c>
      <c r="F1139" t="s">
        <v>83</v>
      </c>
      <c r="G1139">
        <v>1</v>
      </c>
      <c r="H1139">
        <v>60</v>
      </c>
      <c r="I1139">
        <f t="shared" si="624"/>
        <v>60</v>
      </c>
      <c r="J1139" t="s">
        <v>165</v>
      </c>
      <c r="K1139">
        <f t="shared" ref="K1139" si="679">380/12</f>
        <v>31.666666666666668</v>
      </c>
      <c r="M1139">
        <f t="shared" ref="M1139:M1140" si="680">+K1139*G1139</f>
        <v>31.666666666666668</v>
      </c>
      <c r="N1139">
        <f t="shared" ref="N1139:N1140" si="681">+I1139-M1139</f>
        <v>28.333333333333332</v>
      </c>
    </row>
    <row r="1140" spans="1:14" x14ac:dyDescent="0.25">
      <c r="A1140">
        <v>172</v>
      </c>
      <c r="B1140" s="1">
        <v>43900</v>
      </c>
      <c r="C1140" t="s">
        <v>276</v>
      </c>
      <c r="D1140" t="s">
        <v>44</v>
      </c>
      <c r="F1140" t="s">
        <v>77</v>
      </c>
      <c r="G1140">
        <v>1</v>
      </c>
      <c r="H1140">
        <v>35</v>
      </c>
      <c r="I1140">
        <f t="shared" si="624"/>
        <v>35</v>
      </c>
      <c r="J1140" t="s">
        <v>166</v>
      </c>
      <c r="K1140">
        <v>26</v>
      </c>
      <c r="M1140">
        <f t="shared" si="680"/>
        <v>26</v>
      </c>
      <c r="N1140">
        <f t="shared" si="681"/>
        <v>9</v>
      </c>
    </row>
    <row r="1141" spans="1:14" x14ac:dyDescent="0.25">
      <c r="A1141">
        <v>173</v>
      </c>
      <c r="B1141" s="1">
        <v>43900</v>
      </c>
      <c r="C1141" t="s">
        <v>276</v>
      </c>
      <c r="D1141" t="s">
        <v>55</v>
      </c>
      <c r="F1141" t="s">
        <v>97</v>
      </c>
      <c r="G1141">
        <v>8</v>
      </c>
      <c r="H1141">
        <v>280</v>
      </c>
      <c r="I1141">
        <f t="shared" si="624"/>
        <v>2240</v>
      </c>
      <c r="J1141" t="s">
        <v>167</v>
      </c>
      <c r="K1141">
        <v>207</v>
      </c>
      <c r="M1141">
        <f t="shared" ref="M1141:M1144" si="682">+K1141*G1141</f>
        <v>1656</v>
      </c>
      <c r="N1141">
        <f t="shared" ref="N1141:N1144" si="683">+I1141-M1141</f>
        <v>584</v>
      </c>
    </row>
    <row r="1142" spans="1:14" x14ac:dyDescent="0.25">
      <c r="A1142">
        <v>174</v>
      </c>
      <c r="B1142" s="1">
        <v>43900</v>
      </c>
      <c r="C1142" t="s">
        <v>276</v>
      </c>
      <c r="D1142" t="s">
        <v>56</v>
      </c>
      <c r="F1142" t="s">
        <v>267</v>
      </c>
      <c r="G1142">
        <v>3</v>
      </c>
      <c r="H1142">
        <v>170</v>
      </c>
      <c r="I1142">
        <f t="shared" si="624"/>
        <v>510</v>
      </c>
      <c r="J1142" t="s">
        <v>163</v>
      </c>
      <c r="K1142">
        <v>132</v>
      </c>
      <c r="M1142">
        <f t="shared" si="682"/>
        <v>396</v>
      </c>
      <c r="N1142">
        <f t="shared" si="683"/>
        <v>114</v>
      </c>
    </row>
    <row r="1143" spans="1:14" x14ac:dyDescent="0.25">
      <c r="A1143">
        <v>175</v>
      </c>
      <c r="B1143" s="1">
        <v>43900</v>
      </c>
      <c r="C1143" t="s">
        <v>276</v>
      </c>
      <c r="D1143" t="s">
        <v>56</v>
      </c>
      <c r="F1143" t="s">
        <v>267</v>
      </c>
      <c r="G1143">
        <v>1</v>
      </c>
      <c r="H1143">
        <v>170</v>
      </c>
      <c r="I1143">
        <f t="shared" si="624"/>
        <v>170</v>
      </c>
      <c r="J1143" t="s">
        <v>163</v>
      </c>
      <c r="K1143">
        <v>132</v>
      </c>
      <c r="M1143">
        <f t="shared" si="682"/>
        <v>132</v>
      </c>
      <c r="N1143">
        <f t="shared" si="683"/>
        <v>38</v>
      </c>
    </row>
    <row r="1144" spans="1:14" x14ac:dyDescent="0.25">
      <c r="A1144">
        <v>176</v>
      </c>
      <c r="B1144" s="1">
        <v>43900</v>
      </c>
      <c r="C1144" t="s">
        <v>276</v>
      </c>
      <c r="D1144" t="s">
        <v>15</v>
      </c>
      <c r="F1144" t="s">
        <v>252</v>
      </c>
      <c r="G1144">
        <v>3</v>
      </c>
      <c r="H1144">
        <v>280</v>
      </c>
      <c r="I1144">
        <f t="shared" si="624"/>
        <v>840</v>
      </c>
      <c r="J1144" t="s">
        <v>163</v>
      </c>
      <c r="K1144">
        <v>215</v>
      </c>
      <c r="M1144">
        <f t="shared" si="682"/>
        <v>645</v>
      </c>
      <c r="N1144">
        <f t="shared" si="683"/>
        <v>195</v>
      </c>
    </row>
    <row r="1145" spans="1:14" x14ac:dyDescent="0.25">
      <c r="A1145">
        <v>177</v>
      </c>
      <c r="B1145" s="1">
        <v>43900</v>
      </c>
      <c r="C1145" t="s">
        <v>276</v>
      </c>
      <c r="D1145" t="s">
        <v>55</v>
      </c>
      <c r="F1145" t="s">
        <v>97</v>
      </c>
      <c r="G1145">
        <v>1</v>
      </c>
      <c r="H1145">
        <v>280</v>
      </c>
      <c r="I1145">
        <f t="shared" si="624"/>
        <v>280</v>
      </c>
      <c r="J1145" t="s">
        <v>167</v>
      </c>
      <c r="K1145">
        <v>207</v>
      </c>
      <c r="M1145">
        <f t="shared" ref="M1145:M1146" si="684">+K1145*G1145</f>
        <v>207</v>
      </c>
      <c r="N1145">
        <f t="shared" ref="N1145:N1146" si="685">+I1145-M1145</f>
        <v>73</v>
      </c>
    </row>
    <row r="1146" spans="1:14" x14ac:dyDescent="0.25">
      <c r="A1146">
        <v>178</v>
      </c>
      <c r="B1146" s="1">
        <v>43900</v>
      </c>
      <c r="C1146" t="s">
        <v>276</v>
      </c>
      <c r="D1146" t="s">
        <v>15</v>
      </c>
      <c r="F1146" t="s">
        <v>292</v>
      </c>
      <c r="G1146">
        <v>1</v>
      </c>
      <c r="H1146">
        <v>230</v>
      </c>
      <c r="I1146">
        <f t="shared" si="624"/>
        <v>230</v>
      </c>
      <c r="J1146" t="s">
        <v>163</v>
      </c>
      <c r="K1146">
        <v>177</v>
      </c>
      <c r="M1146">
        <f t="shared" si="684"/>
        <v>177</v>
      </c>
      <c r="N1146">
        <f t="shared" si="685"/>
        <v>53</v>
      </c>
    </row>
    <row r="1147" spans="1:14" x14ac:dyDescent="0.25">
      <c r="A1147">
        <v>179</v>
      </c>
      <c r="B1147" s="1">
        <v>43900</v>
      </c>
      <c r="C1147" t="s">
        <v>276</v>
      </c>
      <c r="D1147" t="s">
        <v>55</v>
      </c>
      <c r="F1147" t="s">
        <v>270</v>
      </c>
      <c r="G1147">
        <v>1</v>
      </c>
      <c r="H1147">
        <v>300</v>
      </c>
      <c r="I1147">
        <f t="shared" ref="I1147:I1210" si="686">+G1147*H1147</f>
        <v>300</v>
      </c>
      <c r="J1147" t="s">
        <v>13</v>
      </c>
      <c r="K1147">
        <v>280</v>
      </c>
      <c r="M1147">
        <f t="shared" ref="M1147:M1150" si="687">+K1147*G1147</f>
        <v>280</v>
      </c>
      <c r="N1147">
        <f t="shared" ref="N1147:N1150" si="688">+I1147-M1147</f>
        <v>20</v>
      </c>
    </row>
    <row r="1148" spans="1:14" x14ac:dyDescent="0.25">
      <c r="A1148">
        <v>180</v>
      </c>
      <c r="B1148" s="1">
        <v>43900</v>
      </c>
      <c r="C1148" t="s">
        <v>276</v>
      </c>
      <c r="D1148" t="s">
        <v>15</v>
      </c>
      <c r="F1148" t="s">
        <v>80</v>
      </c>
      <c r="G1148">
        <v>30</v>
      </c>
      <c r="H1148">
        <v>240</v>
      </c>
      <c r="I1148">
        <f t="shared" si="686"/>
        <v>7200</v>
      </c>
      <c r="J1148" t="s">
        <v>163</v>
      </c>
      <c r="K1148">
        <v>213</v>
      </c>
      <c r="M1148">
        <f t="shared" si="687"/>
        <v>6390</v>
      </c>
      <c r="N1148">
        <f t="shared" si="688"/>
        <v>810</v>
      </c>
    </row>
    <row r="1149" spans="1:14" x14ac:dyDescent="0.25">
      <c r="A1149">
        <v>181</v>
      </c>
      <c r="B1149" s="1">
        <v>43900</v>
      </c>
      <c r="C1149" t="s">
        <v>276</v>
      </c>
      <c r="D1149" t="s">
        <v>15</v>
      </c>
      <c r="F1149" t="s">
        <v>34</v>
      </c>
      <c r="G1149">
        <v>5</v>
      </c>
      <c r="H1149">
        <v>230</v>
      </c>
      <c r="I1149">
        <f t="shared" si="686"/>
        <v>1150</v>
      </c>
      <c r="J1149" t="s">
        <v>163</v>
      </c>
      <c r="K1149">
        <v>196</v>
      </c>
      <c r="M1149">
        <f t="shared" si="687"/>
        <v>980</v>
      </c>
      <c r="N1149">
        <f t="shared" si="688"/>
        <v>170</v>
      </c>
    </row>
    <row r="1150" spans="1:14" x14ac:dyDescent="0.25">
      <c r="A1150">
        <v>182</v>
      </c>
      <c r="B1150" s="1">
        <v>43900</v>
      </c>
      <c r="C1150" t="s">
        <v>276</v>
      </c>
      <c r="D1150" t="s">
        <v>15</v>
      </c>
      <c r="F1150" t="s">
        <v>35</v>
      </c>
      <c r="G1150">
        <v>5</v>
      </c>
      <c r="H1150">
        <v>230</v>
      </c>
      <c r="I1150">
        <f t="shared" si="686"/>
        <v>1150</v>
      </c>
      <c r="J1150" t="s">
        <v>163</v>
      </c>
      <c r="K1150">
        <v>196</v>
      </c>
      <c r="M1150">
        <f t="shared" si="687"/>
        <v>980</v>
      </c>
      <c r="N1150">
        <f t="shared" si="688"/>
        <v>170</v>
      </c>
    </row>
    <row r="1151" spans="1:14" x14ac:dyDescent="0.25">
      <c r="A1151">
        <v>183</v>
      </c>
      <c r="B1151" s="1">
        <v>43900</v>
      </c>
      <c r="C1151" t="s">
        <v>276</v>
      </c>
      <c r="D1151" t="s">
        <v>70</v>
      </c>
      <c r="F1151" t="s">
        <v>227</v>
      </c>
      <c r="G1151">
        <v>1</v>
      </c>
      <c r="H1151">
        <v>1650</v>
      </c>
      <c r="I1151">
        <f t="shared" si="686"/>
        <v>1650</v>
      </c>
      <c r="J1151" t="s">
        <v>167</v>
      </c>
      <c r="K1151">
        <v>1440</v>
      </c>
      <c r="M1151">
        <f t="shared" ref="M1151:M1153" si="689">+K1151*G1151</f>
        <v>1440</v>
      </c>
      <c r="N1151">
        <f t="shared" ref="N1151:N1153" si="690">+I1151-M1151</f>
        <v>210</v>
      </c>
    </row>
    <row r="1152" spans="1:14" x14ac:dyDescent="0.25">
      <c r="A1152">
        <v>184</v>
      </c>
      <c r="B1152" s="1">
        <v>43900</v>
      </c>
      <c r="C1152" t="s">
        <v>276</v>
      </c>
      <c r="D1152" t="s">
        <v>70</v>
      </c>
      <c r="F1152" t="s">
        <v>191</v>
      </c>
      <c r="G1152">
        <v>1</v>
      </c>
      <c r="H1152">
        <v>1900</v>
      </c>
      <c r="I1152">
        <f t="shared" si="686"/>
        <v>1900</v>
      </c>
      <c r="J1152" t="s">
        <v>167</v>
      </c>
      <c r="K1152">
        <v>1655</v>
      </c>
      <c r="M1152">
        <f t="shared" si="689"/>
        <v>1655</v>
      </c>
      <c r="N1152">
        <f t="shared" si="690"/>
        <v>245</v>
      </c>
    </row>
    <row r="1153" spans="1:14" x14ac:dyDescent="0.25">
      <c r="A1153">
        <v>185</v>
      </c>
      <c r="B1153" s="1">
        <v>43900</v>
      </c>
      <c r="C1153" t="s">
        <v>276</v>
      </c>
      <c r="D1153" t="s">
        <v>56</v>
      </c>
      <c r="F1153" t="s">
        <v>176</v>
      </c>
      <c r="G1153">
        <v>20</v>
      </c>
      <c r="H1153">
        <v>260</v>
      </c>
      <c r="I1153">
        <f t="shared" si="686"/>
        <v>5200</v>
      </c>
      <c r="J1153" t="s">
        <v>27</v>
      </c>
      <c r="K1153">
        <v>202</v>
      </c>
      <c r="M1153">
        <f t="shared" si="689"/>
        <v>4040</v>
      </c>
      <c r="N1153">
        <f t="shared" si="690"/>
        <v>1160</v>
      </c>
    </row>
    <row r="1154" spans="1:14" x14ac:dyDescent="0.25">
      <c r="A1154">
        <v>186</v>
      </c>
      <c r="B1154" s="1">
        <v>43900</v>
      </c>
      <c r="C1154" t="s">
        <v>276</v>
      </c>
      <c r="D1154" t="s">
        <v>70</v>
      </c>
      <c r="F1154" t="s">
        <v>227</v>
      </c>
      <c r="G1154">
        <v>1</v>
      </c>
      <c r="H1154">
        <v>1650</v>
      </c>
      <c r="I1154">
        <f t="shared" si="686"/>
        <v>1650</v>
      </c>
      <c r="J1154" t="s">
        <v>167</v>
      </c>
      <c r="K1154">
        <v>1440</v>
      </c>
      <c r="M1154">
        <f t="shared" ref="M1154:M1157" si="691">+K1154*G1154</f>
        <v>1440</v>
      </c>
      <c r="N1154">
        <f t="shared" ref="N1154:N1157" si="692">+I1154-M1154</f>
        <v>210</v>
      </c>
    </row>
    <row r="1155" spans="1:14" x14ac:dyDescent="0.25">
      <c r="A1155">
        <v>187</v>
      </c>
      <c r="B1155" s="1">
        <v>43901</v>
      </c>
      <c r="C1155" t="s">
        <v>276</v>
      </c>
      <c r="D1155" t="s">
        <v>25</v>
      </c>
      <c r="F1155" t="s">
        <v>83</v>
      </c>
      <c r="G1155">
        <v>1</v>
      </c>
      <c r="H1155">
        <v>60</v>
      </c>
      <c r="I1155">
        <f t="shared" si="686"/>
        <v>60</v>
      </c>
      <c r="J1155" t="s">
        <v>165</v>
      </c>
      <c r="K1155">
        <f t="shared" ref="K1155" si="693">380/12</f>
        <v>31.666666666666668</v>
      </c>
      <c r="M1155">
        <f t="shared" si="691"/>
        <v>31.666666666666668</v>
      </c>
      <c r="N1155">
        <f t="shared" si="692"/>
        <v>28.333333333333332</v>
      </c>
    </row>
    <row r="1156" spans="1:14" x14ac:dyDescent="0.25">
      <c r="A1156">
        <v>188</v>
      </c>
      <c r="B1156" s="1">
        <v>43901</v>
      </c>
      <c r="C1156" t="s">
        <v>276</v>
      </c>
      <c r="D1156" t="s">
        <v>92</v>
      </c>
      <c r="F1156" t="s">
        <v>293</v>
      </c>
      <c r="G1156">
        <v>1</v>
      </c>
      <c r="H1156">
        <v>350</v>
      </c>
      <c r="I1156">
        <f t="shared" si="686"/>
        <v>350</v>
      </c>
      <c r="J1156" t="s">
        <v>166</v>
      </c>
      <c r="K1156">
        <f>350-122</f>
        <v>228</v>
      </c>
      <c r="M1156">
        <f t="shared" si="691"/>
        <v>228</v>
      </c>
      <c r="N1156">
        <f t="shared" si="692"/>
        <v>122</v>
      </c>
    </row>
    <row r="1157" spans="1:14" x14ac:dyDescent="0.25">
      <c r="A1157">
        <v>189</v>
      </c>
      <c r="B1157" s="1">
        <v>43901</v>
      </c>
      <c r="C1157" t="s">
        <v>276</v>
      </c>
      <c r="D1157" t="s">
        <v>92</v>
      </c>
      <c r="F1157" t="s">
        <v>294</v>
      </c>
      <c r="G1157">
        <v>1</v>
      </c>
      <c r="H1157">
        <v>300</v>
      </c>
      <c r="I1157">
        <f t="shared" si="686"/>
        <v>300</v>
      </c>
      <c r="J1157" t="s">
        <v>166</v>
      </c>
      <c r="K1157">
        <v>200</v>
      </c>
      <c r="M1157">
        <f t="shared" si="691"/>
        <v>200</v>
      </c>
      <c r="N1157">
        <f t="shared" si="692"/>
        <v>100</v>
      </c>
    </row>
    <row r="1158" spans="1:14" x14ac:dyDescent="0.25">
      <c r="A1158">
        <v>190</v>
      </c>
      <c r="B1158" s="1">
        <v>43901</v>
      </c>
      <c r="C1158" t="s">
        <v>276</v>
      </c>
      <c r="D1158" t="s">
        <v>56</v>
      </c>
      <c r="F1158" t="s">
        <v>38</v>
      </c>
      <c r="G1158">
        <v>2</v>
      </c>
      <c r="H1158">
        <v>120</v>
      </c>
      <c r="I1158">
        <f t="shared" si="686"/>
        <v>240</v>
      </c>
      <c r="J1158" t="s">
        <v>165</v>
      </c>
      <c r="K1158">
        <v>80</v>
      </c>
      <c r="M1158">
        <f t="shared" ref="M1158:M1161" si="694">+K1158*G1158</f>
        <v>160</v>
      </c>
      <c r="N1158">
        <f t="shared" ref="N1158:N1161" si="695">+I1158-M1158</f>
        <v>80</v>
      </c>
    </row>
    <row r="1159" spans="1:14" x14ac:dyDescent="0.25">
      <c r="A1159">
        <v>191</v>
      </c>
      <c r="B1159" s="1">
        <v>43901</v>
      </c>
      <c r="C1159" t="s">
        <v>276</v>
      </c>
      <c r="D1159" t="s">
        <v>15</v>
      </c>
      <c r="F1159" t="s">
        <v>76</v>
      </c>
      <c r="G1159">
        <v>1</v>
      </c>
      <c r="H1159">
        <v>230</v>
      </c>
      <c r="I1159">
        <f t="shared" si="686"/>
        <v>230</v>
      </c>
      <c r="J1159" t="s">
        <v>163</v>
      </c>
      <c r="K1159">
        <v>196</v>
      </c>
      <c r="M1159">
        <f t="shared" si="694"/>
        <v>196</v>
      </c>
      <c r="N1159">
        <f t="shared" si="695"/>
        <v>34</v>
      </c>
    </row>
    <row r="1160" spans="1:14" x14ac:dyDescent="0.25">
      <c r="A1160">
        <v>192</v>
      </c>
      <c r="B1160" s="1">
        <v>43901</v>
      </c>
      <c r="C1160" t="s">
        <v>276</v>
      </c>
      <c r="D1160" t="s">
        <v>15</v>
      </c>
      <c r="F1160" t="s">
        <v>31</v>
      </c>
      <c r="G1160">
        <v>5</v>
      </c>
      <c r="H1160">
        <v>280</v>
      </c>
      <c r="I1160">
        <f t="shared" si="686"/>
        <v>1400</v>
      </c>
      <c r="J1160" t="s">
        <v>163</v>
      </c>
      <c r="K1160">
        <v>215</v>
      </c>
      <c r="M1160">
        <f t="shared" si="694"/>
        <v>1075</v>
      </c>
      <c r="N1160">
        <f t="shared" si="695"/>
        <v>325</v>
      </c>
    </row>
    <row r="1161" spans="1:14" x14ac:dyDescent="0.25">
      <c r="A1161">
        <v>193</v>
      </c>
      <c r="B1161" s="1">
        <v>43902</v>
      </c>
      <c r="C1161" t="s">
        <v>276</v>
      </c>
      <c r="D1161" t="s">
        <v>15</v>
      </c>
      <c r="F1161" t="s">
        <v>76</v>
      </c>
      <c r="G1161">
        <f>5/8</f>
        <v>0.625</v>
      </c>
      <c r="H1161">
        <v>230</v>
      </c>
      <c r="I1161">
        <f t="shared" si="686"/>
        <v>143.75</v>
      </c>
      <c r="J1161" t="s">
        <v>163</v>
      </c>
      <c r="K1161">
        <v>196</v>
      </c>
      <c r="M1161">
        <f t="shared" si="694"/>
        <v>122.5</v>
      </c>
      <c r="N1161">
        <f t="shared" si="695"/>
        <v>21.25</v>
      </c>
    </row>
    <row r="1162" spans="1:14" x14ac:dyDescent="0.25">
      <c r="A1162">
        <v>194</v>
      </c>
      <c r="B1162" s="1">
        <v>43902</v>
      </c>
      <c r="C1162" t="s">
        <v>276</v>
      </c>
      <c r="D1162" t="s">
        <v>55</v>
      </c>
      <c r="F1162" t="s">
        <v>108</v>
      </c>
      <c r="G1162">
        <f>1/17</f>
        <v>5.8823529411764705E-2</v>
      </c>
      <c r="H1162">
        <v>300</v>
      </c>
      <c r="I1162">
        <f t="shared" si="686"/>
        <v>17.647058823529413</v>
      </c>
      <c r="J1162" t="s">
        <v>167</v>
      </c>
      <c r="K1162">
        <v>268</v>
      </c>
      <c r="M1162">
        <f t="shared" ref="M1162:M1168" si="696">+K1162*G1162</f>
        <v>15.76470588235294</v>
      </c>
      <c r="N1162">
        <f t="shared" ref="N1162:N1168" si="697">+I1162-M1162</f>
        <v>1.8823529411764728</v>
      </c>
    </row>
    <row r="1163" spans="1:14" x14ac:dyDescent="0.25">
      <c r="A1163">
        <v>195</v>
      </c>
      <c r="B1163" s="1">
        <v>43902</v>
      </c>
      <c r="C1163" t="s">
        <v>276</v>
      </c>
      <c r="D1163" t="s">
        <v>55</v>
      </c>
      <c r="F1163" t="s">
        <v>97</v>
      </c>
      <c r="G1163">
        <v>1</v>
      </c>
      <c r="H1163">
        <v>280</v>
      </c>
      <c r="I1163">
        <f t="shared" si="686"/>
        <v>280</v>
      </c>
      <c r="J1163" t="s">
        <v>13</v>
      </c>
      <c r="K1163">
        <v>230</v>
      </c>
      <c r="M1163">
        <f t="shared" si="696"/>
        <v>230</v>
      </c>
      <c r="N1163">
        <f t="shared" si="697"/>
        <v>50</v>
      </c>
    </row>
    <row r="1164" spans="1:14" x14ac:dyDescent="0.25">
      <c r="A1164">
        <v>196</v>
      </c>
      <c r="B1164" s="1">
        <v>43902</v>
      </c>
      <c r="C1164" t="s">
        <v>276</v>
      </c>
      <c r="D1164" t="s">
        <v>92</v>
      </c>
      <c r="F1164" t="s">
        <v>251</v>
      </c>
      <c r="G1164">
        <v>1</v>
      </c>
      <c r="H1164">
        <v>270</v>
      </c>
      <c r="I1164">
        <f t="shared" si="686"/>
        <v>270</v>
      </c>
      <c r="J1164" t="s">
        <v>198</v>
      </c>
      <c r="K1164">
        <v>200</v>
      </c>
      <c r="M1164">
        <f t="shared" si="696"/>
        <v>200</v>
      </c>
      <c r="N1164">
        <f t="shared" si="697"/>
        <v>70</v>
      </c>
    </row>
    <row r="1165" spans="1:14" x14ac:dyDescent="0.25">
      <c r="A1165">
        <v>197</v>
      </c>
      <c r="B1165" s="1">
        <v>43902</v>
      </c>
      <c r="C1165" t="s">
        <v>276</v>
      </c>
      <c r="D1165" t="s">
        <v>56</v>
      </c>
      <c r="F1165" t="s">
        <v>267</v>
      </c>
      <c r="G1165">
        <v>1</v>
      </c>
      <c r="H1165">
        <v>170</v>
      </c>
      <c r="I1165">
        <f t="shared" si="686"/>
        <v>170</v>
      </c>
      <c r="J1165" t="s">
        <v>163</v>
      </c>
      <c r="K1165">
        <v>132</v>
      </c>
      <c r="M1165">
        <f t="shared" si="696"/>
        <v>132</v>
      </c>
      <c r="N1165">
        <f t="shared" si="697"/>
        <v>38</v>
      </c>
    </row>
    <row r="1166" spans="1:14" x14ac:dyDescent="0.25">
      <c r="A1166">
        <v>198</v>
      </c>
      <c r="B1166" s="1">
        <v>43902</v>
      </c>
      <c r="C1166" t="s">
        <v>276</v>
      </c>
      <c r="D1166" t="s">
        <v>15</v>
      </c>
      <c r="F1166" t="s">
        <v>80</v>
      </c>
      <c r="G1166">
        <v>40</v>
      </c>
      <c r="H1166">
        <v>240</v>
      </c>
      <c r="I1166">
        <f t="shared" si="686"/>
        <v>9600</v>
      </c>
      <c r="J1166" t="s">
        <v>163</v>
      </c>
      <c r="K1166">
        <v>213</v>
      </c>
      <c r="M1166">
        <f t="shared" si="696"/>
        <v>8520</v>
      </c>
      <c r="N1166">
        <f t="shared" si="697"/>
        <v>1080</v>
      </c>
    </row>
    <row r="1167" spans="1:14" x14ac:dyDescent="0.25">
      <c r="A1167">
        <v>199</v>
      </c>
      <c r="B1167" s="1">
        <v>43902</v>
      </c>
      <c r="C1167" t="s">
        <v>276</v>
      </c>
      <c r="D1167" t="s">
        <v>15</v>
      </c>
      <c r="F1167" t="s">
        <v>35</v>
      </c>
      <c r="G1167">
        <v>9</v>
      </c>
      <c r="H1167">
        <v>230</v>
      </c>
      <c r="I1167">
        <f t="shared" si="686"/>
        <v>2070</v>
      </c>
      <c r="J1167" t="s">
        <v>163</v>
      </c>
      <c r="K1167">
        <v>196</v>
      </c>
      <c r="M1167">
        <f t="shared" si="696"/>
        <v>1764</v>
      </c>
      <c r="N1167">
        <f t="shared" si="697"/>
        <v>306</v>
      </c>
    </row>
    <row r="1168" spans="1:14" x14ac:dyDescent="0.25">
      <c r="A1168">
        <v>200</v>
      </c>
      <c r="B1168" s="1">
        <v>43902</v>
      </c>
      <c r="C1168" t="s">
        <v>276</v>
      </c>
      <c r="D1168" t="s">
        <v>56</v>
      </c>
      <c r="F1168" t="s">
        <v>267</v>
      </c>
      <c r="G1168">
        <v>25</v>
      </c>
      <c r="H1168">
        <v>170</v>
      </c>
      <c r="I1168">
        <f t="shared" si="686"/>
        <v>4250</v>
      </c>
      <c r="J1168" t="s">
        <v>163</v>
      </c>
      <c r="K1168">
        <v>132</v>
      </c>
      <c r="M1168">
        <f t="shared" si="696"/>
        <v>3300</v>
      </c>
      <c r="N1168">
        <f t="shared" si="697"/>
        <v>950</v>
      </c>
    </row>
    <row r="1169" spans="1:14" x14ac:dyDescent="0.25">
      <c r="A1169">
        <v>201</v>
      </c>
      <c r="B1169" s="1">
        <v>43902</v>
      </c>
      <c r="C1169" t="s">
        <v>276</v>
      </c>
      <c r="D1169" t="s">
        <v>44</v>
      </c>
      <c r="F1169" t="s">
        <v>133</v>
      </c>
      <c r="G1169">
        <v>2</v>
      </c>
      <c r="H1169">
        <v>35</v>
      </c>
      <c r="I1169">
        <f t="shared" si="686"/>
        <v>70</v>
      </c>
      <c r="J1169" t="s">
        <v>166</v>
      </c>
      <c r="K1169">
        <v>26</v>
      </c>
      <c r="M1169">
        <f t="shared" ref="M1169" si="698">+K1169*G1169</f>
        <v>52</v>
      </c>
      <c r="N1169">
        <f t="shared" ref="N1169" si="699">+I1169-M1169</f>
        <v>18</v>
      </c>
    </row>
    <row r="1170" spans="1:14" x14ac:dyDescent="0.25">
      <c r="A1170">
        <v>202</v>
      </c>
      <c r="B1170" s="1">
        <v>43902</v>
      </c>
      <c r="C1170" t="s">
        <v>276</v>
      </c>
      <c r="D1170" t="s">
        <v>15</v>
      </c>
      <c r="F1170" t="s">
        <v>45</v>
      </c>
      <c r="G1170">
        <v>20</v>
      </c>
      <c r="H1170">
        <v>298</v>
      </c>
      <c r="I1170">
        <f t="shared" si="686"/>
        <v>5960</v>
      </c>
      <c r="J1170" t="s">
        <v>13</v>
      </c>
      <c r="K1170">
        <v>280</v>
      </c>
      <c r="M1170">
        <f t="shared" ref="M1170" si="700">+K1170*G1170</f>
        <v>5600</v>
      </c>
      <c r="N1170">
        <f t="shared" ref="N1170" si="701">+I1170-M1170</f>
        <v>360</v>
      </c>
    </row>
    <row r="1171" spans="1:14" x14ac:dyDescent="0.25">
      <c r="A1171">
        <v>203</v>
      </c>
      <c r="B1171" s="1">
        <v>43902</v>
      </c>
      <c r="C1171" t="s">
        <v>276</v>
      </c>
      <c r="D1171" t="s">
        <v>85</v>
      </c>
      <c r="F1171" t="s">
        <v>216</v>
      </c>
      <c r="G1171">
        <v>1</v>
      </c>
      <c r="H1171">
        <v>900</v>
      </c>
      <c r="I1171">
        <f t="shared" si="686"/>
        <v>900</v>
      </c>
      <c r="J1171" t="s">
        <v>167</v>
      </c>
      <c r="K1171">
        <v>440</v>
      </c>
      <c r="M1171">
        <f t="shared" ref="M1171" si="702">+K1171*G1171</f>
        <v>440</v>
      </c>
      <c r="N1171">
        <f t="shared" ref="N1171" si="703">+I1171-M1171</f>
        <v>460</v>
      </c>
    </row>
    <row r="1172" spans="1:14" x14ac:dyDescent="0.25">
      <c r="A1172">
        <v>204</v>
      </c>
      <c r="B1172" s="1">
        <v>43902</v>
      </c>
      <c r="C1172" t="s">
        <v>276</v>
      </c>
      <c r="D1172" t="s">
        <v>85</v>
      </c>
      <c r="F1172" t="s">
        <v>266</v>
      </c>
      <c r="G1172">
        <v>1</v>
      </c>
      <c r="H1172">
        <v>240</v>
      </c>
      <c r="I1172">
        <f t="shared" si="686"/>
        <v>240</v>
      </c>
      <c r="J1172" t="s">
        <v>166</v>
      </c>
    </row>
    <row r="1173" spans="1:14" x14ac:dyDescent="0.25">
      <c r="A1173">
        <v>205</v>
      </c>
      <c r="B1173" s="1">
        <v>43902</v>
      </c>
      <c r="C1173" t="s">
        <v>276</v>
      </c>
      <c r="D1173" t="s">
        <v>15</v>
      </c>
      <c r="F1173" t="s">
        <v>29</v>
      </c>
      <c r="G1173">
        <v>5</v>
      </c>
      <c r="H1173">
        <v>230</v>
      </c>
      <c r="I1173">
        <f t="shared" si="686"/>
        <v>1150</v>
      </c>
      <c r="J1173" t="s">
        <v>163</v>
      </c>
      <c r="K1173">
        <v>196</v>
      </c>
      <c r="M1173">
        <f t="shared" ref="M1173" si="704">+K1173*G1173</f>
        <v>980</v>
      </c>
      <c r="N1173">
        <f t="shared" ref="N1173" si="705">+I1173-M1173</f>
        <v>170</v>
      </c>
    </row>
    <row r="1174" spans="1:14" x14ac:dyDescent="0.25">
      <c r="A1174">
        <v>206</v>
      </c>
      <c r="B1174" s="1">
        <v>43902</v>
      </c>
      <c r="C1174" t="s">
        <v>276</v>
      </c>
      <c r="D1174" t="s">
        <v>25</v>
      </c>
      <c r="F1174" t="s">
        <v>127</v>
      </c>
      <c r="G1174">
        <v>1</v>
      </c>
      <c r="H1174">
        <v>60</v>
      </c>
      <c r="I1174">
        <f t="shared" si="686"/>
        <v>60</v>
      </c>
      <c r="J1174" t="s">
        <v>165</v>
      </c>
      <c r="K1174">
        <f t="shared" ref="K1174" si="706">380/12</f>
        <v>31.666666666666668</v>
      </c>
      <c r="M1174">
        <f t="shared" ref="M1174:M1175" si="707">+K1174*G1174</f>
        <v>31.666666666666668</v>
      </c>
      <c r="N1174">
        <f t="shared" ref="N1174:N1175" si="708">+I1174-M1174</f>
        <v>28.333333333333332</v>
      </c>
    </row>
    <row r="1175" spans="1:14" x14ac:dyDescent="0.25">
      <c r="A1175">
        <v>207</v>
      </c>
      <c r="B1175" s="1">
        <v>43902</v>
      </c>
      <c r="C1175" t="s">
        <v>276</v>
      </c>
      <c r="D1175" t="s">
        <v>56</v>
      </c>
      <c r="F1175" t="s">
        <v>267</v>
      </c>
      <c r="G1175">
        <v>1</v>
      </c>
      <c r="H1175">
        <v>170</v>
      </c>
      <c r="I1175">
        <f t="shared" si="686"/>
        <v>170</v>
      </c>
      <c r="J1175" t="s">
        <v>163</v>
      </c>
      <c r="K1175">
        <v>132</v>
      </c>
      <c r="M1175">
        <f t="shared" si="707"/>
        <v>132</v>
      </c>
      <c r="N1175">
        <f t="shared" si="708"/>
        <v>38</v>
      </c>
    </row>
    <row r="1176" spans="1:14" x14ac:dyDescent="0.25">
      <c r="A1176">
        <v>208</v>
      </c>
      <c r="B1176" s="1">
        <v>43902</v>
      </c>
      <c r="C1176" t="s">
        <v>276</v>
      </c>
      <c r="D1176" t="s">
        <v>25</v>
      </c>
      <c r="F1176" t="s">
        <v>148</v>
      </c>
      <c r="G1176">
        <v>3</v>
      </c>
      <c r="H1176">
        <v>60</v>
      </c>
      <c r="I1176">
        <f t="shared" si="686"/>
        <v>180</v>
      </c>
      <c r="J1176" t="s">
        <v>165</v>
      </c>
      <c r="K1176">
        <f t="shared" ref="K1176" si="709">380/12</f>
        <v>31.666666666666668</v>
      </c>
      <c r="M1176">
        <f t="shared" ref="M1176" si="710">+K1176*G1176</f>
        <v>95</v>
      </c>
      <c r="N1176">
        <f t="shared" ref="N1176" si="711">+I1176-M1176</f>
        <v>85</v>
      </c>
    </row>
    <row r="1177" spans="1:14" x14ac:dyDescent="0.25">
      <c r="A1177">
        <v>209</v>
      </c>
      <c r="B1177" s="1">
        <v>43902</v>
      </c>
      <c r="C1177" t="s">
        <v>276</v>
      </c>
      <c r="D1177" t="s">
        <v>85</v>
      </c>
      <c r="F1177" t="s">
        <v>216</v>
      </c>
      <c r="G1177">
        <v>1</v>
      </c>
      <c r="H1177">
        <v>900</v>
      </c>
      <c r="I1177">
        <f t="shared" si="686"/>
        <v>900</v>
      </c>
      <c r="J1177" t="s">
        <v>167</v>
      </c>
      <c r="K1177">
        <v>440</v>
      </c>
      <c r="M1177">
        <f t="shared" ref="M1177" si="712">+K1177*G1177</f>
        <v>440</v>
      </c>
      <c r="N1177">
        <f t="shared" ref="N1177" si="713">+I1177-M1177</f>
        <v>460</v>
      </c>
    </row>
    <row r="1178" spans="1:14" x14ac:dyDescent="0.25">
      <c r="A1178">
        <v>210</v>
      </c>
      <c r="B1178" s="1">
        <v>43902</v>
      </c>
      <c r="C1178" t="s">
        <v>276</v>
      </c>
      <c r="D1178" t="s">
        <v>85</v>
      </c>
      <c r="F1178" t="s">
        <v>266</v>
      </c>
      <c r="G1178">
        <v>1</v>
      </c>
      <c r="H1178">
        <v>240</v>
      </c>
      <c r="I1178">
        <f t="shared" si="686"/>
        <v>240</v>
      </c>
      <c r="J1178" t="s">
        <v>166</v>
      </c>
    </row>
    <row r="1179" spans="1:14" x14ac:dyDescent="0.25">
      <c r="A1179">
        <v>211</v>
      </c>
      <c r="B1179" s="1">
        <v>43902</v>
      </c>
      <c r="C1179" t="s">
        <v>276</v>
      </c>
      <c r="D1179" t="s">
        <v>15</v>
      </c>
      <c r="F1179" t="s">
        <v>234</v>
      </c>
      <c r="G1179">
        <f>4.5*1.54</f>
        <v>6.93</v>
      </c>
      <c r="H1179">
        <v>290</v>
      </c>
      <c r="I1179">
        <f t="shared" si="686"/>
        <v>2009.6999999999998</v>
      </c>
      <c r="J1179" t="s">
        <v>163</v>
      </c>
      <c r="K1179">
        <v>215</v>
      </c>
      <c r="M1179">
        <f t="shared" ref="M1179:M1183" si="714">+K1179*G1179</f>
        <v>1489.95</v>
      </c>
      <c r="N1179">
        <f t="shared" ref="N1179:N1183" si="715">+I1179-M1179</f>
        <v>519.74999999999977</v>
      </c>
    </row>
    <row r="1180" spans="1:14" x14ac:dyDescent="0.25">
      <c r="A1180">
        <v>212</v>
      </c>
      <c r="B1180" s="1">
        <v>43903</v>
      </c>
      <c r="C1180" t="s">
        <v>276</v>
      </c>
      <c r="D1180" t="s">
        <v>15</v>
      </c>
      <c r="F1180" t="s">
        <v>54</v>
      </c>
      <c r="G1180">
        <v>8.5</v>
      </c>
      <c r="H1180">
        <v>240</v>
      </c>
      <c r="I1180">
        <f t="shared" si="686"/>
        <v>2040</v>
      </c>
      <c r="J1180" t="s">
        <v>163</v>
      </c>
      <c r="K1180">
        <v>214</v>
      </c>
      <c r="M1180">
        <f t="shared" si="714"/>
        <v>1819</v>
      </c>
      <c r="N1180">
        <f t="shared" si="715"/>
        <v>221</v>
      </c>
    </row>
    <row r="1181" spans="1:14" x14ac:dyDescent="0.25">
      <c r="A1181">
        <v>213</v>
      </c>
      <c r="B1181" s="1">
        <v>43903</v>
      </c>
      <c r="C1181" t="s">
        <v>276</v>
      </c>
      <c r="D1181" t="s">
        <v>15</v>
      </c>
      <c r="F1181" t="s">
        <v>292</v>
      </c>
      <c r="G1181">
        <v>6</v>
      </c>
      <c r="H1181">
        <v>230</v>
      </c>
      <c r="I1181">
        <f t="shared" si="686"/>
        <v>1380</v>
      </c>
      <c r="J1181" t="s">
        <v>163</v>
      </c>
      <c r="K1181">
        <v>177</v>
      </c>
      <c r="M1181">
        <f t="shared" si="714"/>
        <v>1062</v>
      </c>
      <c r="N1181">
        <f t="shared" si="715"/>
        <v>318</v>
      </c>
    </row>
    <row r="1182" spans="1:14" x14ac:dyDescent="0.25">
      <c r="A1182">
        <v>214</v>
      </c>
      <c r="B1182" s="1">
        <v>43903</v>
      </c>
      <c r="C1182" t="s">
        <v>276</v>
      </c>
      <c r="D1182" t="s">
        <v>15</v>
      </c>
      <c r="F1182" t="s">
        <v>295</v>
      </c>
      <c r="G1182">
        <v>3</v>
      </c>
      <c r="H1182">
        <v>230</v>
      </c>
      <c r="I1182">
        <f t="shared" si="686"/>
        <v>690</v>
      </c>
      <c r="J1182" t="s">
        <v>163</v>
      </c>
      <c r="K1182">
        <v>177</v>
      </c>
      <c r="M1182">
        <f t="shared" si="714"/>
        <v>531</v>
      </c>
      <c r="N1182">
        <f t="shared" si="715"/>
        <v>159</v>
      </c>
    </row>
    <row r="1183" spans="1:14" x14ac:dyDescent="0.25">
      <c r="A1183">
        <v>215</v>
      </c>
      <c r="B1183" s="1">
        <v>43903</v>
      </c>
      <c r="C1183" t="s">
        <v>276</v>
      </c>
      <c r="D1183" t="s">
        <v>56</v>
      </c>
      <c r="F1183" t="s">
        <v>267</v>
      </c>
      <c r="G1183">
        <v>2</v>
      </c>
      <c r="H1183">
        <v>170</v>
      </c>
      <c r="I1183">
        <f t="shared" si="686"/>
        <v>340</v>
      </c>
      <c r="J1183" t="s">
        <v>163</v>
      </c>
      <c r="K1183">
        <v>132</v>
      </c>
      <c r="M1183">
        <f t="shared" si="714"/>
        <v>264</v>
      </c>
      <c r="N1183">
        <f t="shared" si="715"/>
        <v>76</v>
      </c>
    </row>
    <row r="1184" spans="1:14" x14ac:dyDescent="0.25">
      <c r="A1184">
        <v>216</v>
      </c>
      <c r="B1184" s="1">
        <v>43903</v>
      </c>
      <c r="C1184" t="s">
        <v>276</v>
      </c>
      <c r="D1184" t="s">
        <v>25</v>
      </c>
      <c r="F1184" t="s">
        <v>147</v>
      </c>
      <c r="G1184">
        <v>1</v>
      </c>
      <c r="H1184">
        <v>60</v>
      </c>
      <c r="I1184">
        <f t="shared" si="686"/>
        <v>60</v>
      </c>
      <c r="J1184" t="s">
        <v>165</v>
      </c>
      <c r="K1184">
        <f t="shared" ref="K1184" si="716">380/12</f>
        <v>31.666666666666668</v>
      </c>
      <c r="M1184">
        <f t="shared" ref="M1184:M1185" si="717">+K1184*G1184</f>
        <v>31.666666666666668</v>
      </c>
      <c r="N1184">
        <f t="shared" ref="N1184:N1185" si="718">+I1184-M1184</f>
        <v>28.333333333333332</v>
      </c>
    </row>
    <row r="1185" spans="1:14" x14ac:dyDescent="0.25">
      <c r="A1185">
        <v>217</v>
      </c>
      <c r="B1185" s="1">
        <v>43903</v>
      </c>
      <c r="C1185" t="s">
        <v>276</v>
      </c>
      <c r="D1185" t="s">
        <v>15</v>
      </c>
      <c r="F1185" t="s">
        <v>204</v>
      </c>
      <c r="G1185">
        <v>1</v>
      </c>
      <c r="H1185">
        <v>300</v>
      </c>
      <c r="I1185">
        <f t="shared" si="686"/>
        <v>300</v>
      </c>
      <c r="J1185" t="s">
        <v>163</v>
      </c>
      <c r="K1185">
        <v>271</v>
      </c>
      <c r="M1185">
        <f t="shared" si="717"/>
        <v>271</v>
      </c>
      <c r="N1185">
        <f t="shared" si="718"/>
        <v>29</v>
      </c>
    </row>
    <row r="1186" spans="1:14" x14ac:dyDescent="0.25">
      <c r="A1186">
        <v>218</v>
      </c>
      <c r="B1186" s="1">
        <v>43903</v>
      </c>
      <c r="C1186" t="s">
        <v>276</v>
      </c>
      <c r="D1186" t="s">
        <v>25</v>
      </c>
      <c r="F1186" t="s">
        <v>60</v>
      </c>
      <c r="G1186">
        <v>1</v>
      </c>
      <c r="H1186">
        <v>60</v>
      </c>
      <c r="I1186">
        <f t="shared" si="686"/>
        <v>60</v>
      </c>
      <c r="J1186" t="s">
        <v>165</v>
      </c>
      <c r="K1186">
        <f t="shared" ref="K1186" si="719">380/12</f>
        <v>31.666666666666668</v>
      </c>
      <c r="M1186">
        <f t="shared" ref="M1186:M1187" si="720">+K1186*G1186</f>
        <v>31.666666666666668</v>
      </c>
      <c r="N1186">
        <f t="shared" ref="N1186:N1187" si="721">+I1186-M1186</f>
        <v>28.333333333333332</v>
      </c>
    </row>
    <row r="1187" spans="1:14" x14ac:dyDescent="0.25">
      <c r="A1187">
        <v>219</v>
      </c>
      <c r="B1187" s="1">
        <v>43903</v>
      </c>
      <c r="C1187" t="s">
        <v>276</v>
      </c>
      <c r="D1187" t="s">
        <v>15</v>
      </c>
      <c r="F1187" t="s">
        <v>76</v>
      </c>
      <c r="G1187">
        <f>2/8</f>
        <v>0.25</v>
      </c>
      <c r="H1187">
        <v>230</v>
      </c>
      <c r="I1187">
        <f t="shared" si="686"/>
        <v>57.5</v>
      </c>
      <c r="J1187" t="s">
        <v>163</v>
      </c>
      <c r="K1187">
        <v>196</v>
      </c>
      <c r="M1187">
        <f t="shared" si="720"/>
        <v>49</v>
      </c>
      <c r="N1187">
        <f t="shared" si="721"/>
        <v>8.5</v>
      </c>
    </row>
    <row r="1188" spans="1:14" x14ac:dyDescent="0.25">
      <c r="A1188">
        <v>220</v>
      </c>
      <c r="B1188" s="1">
        <v>43903</v>
      </c>
      <c r="C1188" t="s">
        <v>276</v>
      </c>
      <c r="D1188" t="s">
        <v>15</v>
      </c>
      <c r="F1188" t="s">
        <v>17</v>
      </c>
      <c r="G1188">
        <v>6.1</v>
      </c>
      <c r="H1188">
        <v>360</v>
      </c>
      <c r="I1188">
        <f t="shared" si="686"/>
        <v>2196</v>
      </c>
      <c r="J1188" t="s">
        <v>13</v>
      </c>
      <c r="K1188">
        <v>330</v>
      </c>
      <c r="M1188">
        <f t="shared" ref="M1188:M1189" si="722">+K1188*G1188</f>
        <v>2012.9999999999998</v>
      </c>
      <c r="N1188">
        <f t="shared" ref="N1188:N1189" si="723">+I1188-M1188</f>
        <v>183.00000000000023</v>
      </c>
    </row>
    <row r="1189" spans="1:14" x14ac:dyDescent="0.25">
      <c r="A1189">
        <v>221</v>
      </c>
      <c r="B1189" s="1">
        <v>43903</v>
      </c>
      <c r="C1189" t="s">
        <v>276</v>
      </c>
      <c r="D1189" t="s">
        <v>15</v>
      </c>
      <c r="F1189" t="s">
        <v>261</v>
      </c>
      <c r="G1189">
        <v>1.5</v>
      </c>
      <c r="H1189">
        <v>240</v>
      </c>
      <c r="I1189">
        <f t="shared" si="686"/>
        <v>360</v>
      </c>
      <c r="J1189" t="s">
        <v>163</v>
      </c>
      <c r="K1189">
        <v>204</v>
      </c>
      <c r="M1189">
        <f t="shared" si="722"/>
        <v>306</v>
      </c>
      <c r="N1189">
        <f t="shared" si="723"/>
        <v>54</v>
      </c>
    </row>
    <row r="1190" spans="1:14" x14ac:dyDescent="0.25">
      <c r="A1190">
        <v>222</v>
      </c>
      <c r="B1190" s="1">
        <v>43903</v>
      </c>
      <c r="C1190" t="s">
        <v>276</v>
      </c>
      <c r="D1190" t="s">
        <v>25</v>
      </c>
      <c r="F1190" t="s">
        <v>148</v>
      </c>
      <c r="G1190">
        <v>1</v>
      </c>
      <c r="H1190">
        <v>60</v>
      </c>
      <c r="I1190">
        <f t="shared" si="686"/>
        <v>60</v>
      </c>
      <c r="J1190" t="s">
        <v>165</v>
      </c>
      <c r="K1190">
        <f t="shared" ref="K1190" si="724">380/12</f>
        <v>31.666666666666668</v>
      </c>
      <c r="M1190">
        <f t="shared" ref="M1190:M1193" si="725">+K1190*G1190</f>
        <v>31.666666666666668</v>
      </c>
      <c r="N1190">
        <f t="shared" ref="N1190:N1193" si="726">+I1190-M1190</f>
        <v>28.333333333333332</v>
      </c>
    </row>
    <row r="1191" spans="1:14" x14ac:dyDescent="0.25">
      <c r="A1191">
        <v>223</v>
      </c>
      <c r="B1191" s="1">
        <v>43903</v>
      </c>
      <c r="C1191" t="s">
        <v>276</v>
      </c>
      <c r="D1191" t="s">
        <v>55</v>
      </c>
      <c r="F1191" t="s">
        <v>61</v>
      </c>
      <c r="G1191">
        <v>14</v>
      </c>
      <c r="H1191">
        <v>230</v>
      </c>
      <c r="I1191">
        <f t="shared" si="686"/>
        <v>3220</v>
      </c>
      <c r="J1191" t="s">
        <v>163</v>
      </c>
      <c r="K1191">
        <v>177</v>
      </c>
      <c r="M1191">
        <f t="shared" si="725"/>
        <v>2478</v>
      </c>
      <c r="N1191">
        <f t="shared" si="726"/>
        <v>742</v>
      </c>
    </row>
    <row r="1192" spans="1:14" x14ac:dyDescent="0.25">
      <c r="A1192">
        <v>224</v>
      </c>
      <c r="B1192" s="1">
        <v>43903</v>
      </c>
      <c r="C1192" t="s">
        <v>276</v>
      </c>
      <c r="D1192" t="s">
        <v>15</v>
      </c>
      <c r="F1192" t="s">
        <v>295</v>
      </c>
      <c r="G1192">
        <v>4</v>
      </c>
      <c r="H1192">
        <v>230</v>
      </c>
      <c r="I1192">
        <f t="shared" si="686"/>
        <v>920</v>
      </c>
      <c r="J1192" t="s">
        <v>163</v>
      </c>
      <c r="K1192">
        <v>177</v>
      </c>
      <c r="M1192">
        <f t="shared" si="725"/>
        <v>708</v>
      </c>
      <c r="N1192">
        <f t="shared" si="726"/>
        <v>212</v>
      </c>
    </row>
    <row r="1193" spans="1:14" x14ac:dyDescent="0.25">
      <c r="A1193">
        <v>225</v>
      </c>
      <c r="B1193" s="1">
        <v>43903</v>
      </c>
      <c r="C1193" t="s">
        <v>276</v>
      </c>
      <c r="D1193" t="s">
        <v>56</v>
      </c>
      <c r="F1193" t="s">
        <v>267</v>
      </c>
      <c r="G1193">
        <v>6</v>
      </c>
      <c r="H1193">
        <v>170</v>
      </c>
      <c r="I1193">
        <f t="shared" si="686"/>
        <v>1020</v>
      </c>
      <c r="J1193" t="s">
        <v>163</v>
      </c>
      <c r="K1193">
        <v>132</v>
      </c>
      <c r="M1193">
        <f t="shared" si="725"/>
        <v>792</v>
      </c>
      <c r="N1193">
        <f t="shared" si="726"/>
        <v>228</v>
      </c>
    </row>
    <row r="1194" spans="1:14" x14ac:dyDescent="0.25">
      <c r="A1194">
        <v>226</v>
      </c>
      <c r="B1194" s="1">
        <v>43903</v>
      </c>
      <c r="C1194" t="s">
        <v>276</v>
      </c>
      <c r="D1194" t="s">
        <v>25</v>
      </c>
      <c r="F1194" t="s">
        <v>147</v>
      </c>
      <c r="G1194">
        <v>4</v>
      </c>
      <c r="H1194">
        <v>60</v>
      </c>
      <c r="I1194">
        <f t="shared" si="686"/>
        <v>240</v>
      </c>
      <c r="J1194" t="s">
        <v>165</v>
      </c>
      <c r="K1194">
        <f t="shared" ref="K1194" si="727">380/12</f>
        <v>31.666666666666668</v>
      </c>
      <c r="M1194">
        <f t="shared" ref="M1194:M1196" si="728">+K1194*G1194</f>
        <v>126.66666666666667</v>
      </c>
      <c r="N1194">
        <f t="shared" ref="N1194:N1196" si="729">+I1194-M1194</f>
        <v>113.33333333333333</v>
      </c>
    </row>
    <row r="1195" spans="1:14" x14ac:dyDescent="0.25">
      <c r="A1195">
        <v>227</v>
      </c>
      <c r="B1195" s="1">
        <v>43903</v>
      </c>
      <c r="C1195" t="s">
        <v>276</v>
      </c>
      <c r="D1195" t="s">
        <v>56</v>
      </c>
      <c r="F1195" t="s">
        <v>38</v>
      </c>
      <c r="G1195">
        <v>1</v>
      </c>
      <c r="H1195">
        <v>120</v>
      </c>
      <c r="I1195">
        <f t="shared" si="686"/>
        <v>120</v>
      </c>
      <c r="J1195" t="s">
        <v>165</v>
      </c>
      <c r="K1195">
        <v>80</v>
      </c>
      <c r="M1195">
        <f t="shared" si="728"/>
        <v>80</v>
      </c>
      <c r="N1195">
        <f t="shared" si="729"/>
        <v>40</v>
      </c>
    </row>
    <row r="1196" spans="1:14" x14ac:dyDescent="0.25">
      <c r="A1196">
        <v>228</v>
      </c>
      <c r="B1196" s="1">
        <v>43904</v>
      </c>
      <c r="C1196" t="s">
        <v>276</v>
      </c>
      <c r="D1196" t="s">
        <v>15</v>
      </c>
      <c r="F1196" t="s">
        <v>261</v>
      </c>
      <c r="G1196">
        <v>5.97</v>
      </c>
      <c r="H1196">
        <v>240</v>
      </c>
      <c r="I1196">
        <f t="shared" si="686"/>
        <v>1432.8</v>
      </c>
      <c r="J1196" t="s">
        <v>163</v>
      </c>
      <c r="K1196">
        <v>204</v>
      </c>
      <c r="M1196">
        <f t="shared" si="728"/>
        <v>1217.8799999999999</v>
      </c>
      <c r="N1196">
        <f t="shared" si="729"/>
        <v>214.92000000000007</v>
      </c>
    </row>
    <row r="1197" spans="1:14" x14ac:dyDescent="0.25">
      <c r="A1197">
        <v>229</v>
      </c>
      <c r="B1197" s="1">
        <v>43904</v>
      </c>
      <c r="C1197" t="s">
        <v>276</v>
      </c>
      <c r="D1197" t="s">
        <v>15</v>
      </c>
      <c r="F1197" t="s">
        <v>58</v>
      </c>
      <c r="G1197">
        <f>2/4</f>
        <v>0.5</v>
      </c>
      <c r="H1197">
        <v>294</v>
      </c>
      <c r="I1197">
        <f t="shared" si="686"/>
        <v>147</v>
      </c>
      <c r="J1197" t="s">
        <v>163</v>
      </c>
    </row>
    <row r="1198" spans="1:14" x14ac:dyDescent="0.25">
      <c r="A1198">
        <v>230</v>
      </c>
      <c r="B1198" s="1">
        <v>43904</v>
      </c>
      <c r="C1198" t="s">
        <v>276</v>
      </c>
      <c r="D1198" t="s">
        <v>56</v>
      </c>
      <c r="F1198" t="s">
        <v>267</v>
      </c>
      <c r="G1198">
        <v>1</v>
      </c>
      <c r="H1198">
        <v>170</v>
      </c>
      <c r="I1198">
        <f t="shared" si="686"/>
        <v>170</v>
      </c>
      <c r="J1198" t="s">
        <v>163</v>
      </c>
      <c r="K1198">
        <v>132</v>
      </c>
      <c r="M1198">
        <f t="shared" ref="M1198:M1200" si="730">+K1198*G1198</f>
        <v>132</v>
      </c>
      <c r="N1198">
        <f t="shared" ref="N1198:N1200" si="731">+I1198-M1198</f>
        <v>38</v>
      </c>
    </row>
    <row r="1199" spans="1:14" x14ac:dyDescent="0.25">
      <c r="A1199">
        <v>231</v>
      </c>
      <c r="B1199" s="1">
        <v>43904</v>
      </c>
      <c r="C1199" t="s">
        <v>276</v>
      </c>
      <c r="D1199" t="s">
        <v>15</v>
      </c>
      <c r="F1199" t="s">
        <v>80</v>
      </c>
      <c r="G1199">
        <v>2.31</v>
      </c>
      <c r="H1199">
        <v>240</v>
      </c>
      <c r="I1199">
        <f t="shared" si="686"/>
        <v>554.4</v>
      </c>
      <c r="J1199" t="s">
        <v>163</v>
      </c>
      <c r="K1199">
        <v>213</v>
      </c>
      <c r="M1199">
        <f t="shared" si="730"/>
        <v>492.03000000000003</v>
      </c>
      <c r="N1199">
        <f t="shared" si="731"/>
        <v>62.369999999999948</v>
      </c>
    </row>
    <row r="1200" spans="1:14" x14ac:dyDescent="0.25">
      <c r="A1200">
        <v>232</v>
      </c>
      <c r="B1200" s="1">
        <v>43904</v>
      </c>
      <c r="C1200" t="s">
        <v>276</v>
      </c>
      <c r="D1200" t="s">
        <v>56</v>
      </c>
      <c r="F1200" t="s">
        <v>267</v>
      </c>
      <c r="G1200">
        <v>1</v>
      </c>
      <c r="H1200">
        <v>170</v>
      </c>
      <c r="I1200">
        <f t="shared" si="686"/>
        <v>170</v>
      </c>
      <c r="J1200" t="s">
        <v>163</v>
      </c>
      <c r="K1200">
        <v>132</v>
      </c>
      <c r="M1200">
        <f t="shared" si="730"/>
        <v>132</v>
      </c>
      <c r="N1200">
        <f t="shared" si="731"/>
        <v>38</v>
      </c>
    </row>
    <row r="1201" spans="1:14" x14ac:dyDescent="0.25">
      <c r="A1201">
        <v>233</v>
      </c>
      <c r="B1201" s="1">
        <v>43904</v>
      </c>
      <c r="C1201" t="s">
        <v>276</v>
      </c>
      <c r="D1201" t="s">
        <v>25</v>
      </c>
      <c r="F1201" t="s">
        <v>148</v>
      </c>
      <c r="G1201">
        <v>1</v>
      </c>
      <c r="H1201">
        <v>60</v>
      </c>
      <c r="I1201">
        <f t="shared" si="686"/>
        <v>60</v>
      </c>
      <c r="J1201" t="s">
        <v>165</v>
      </c>
      <c r="K1201">
        <f t="shared" ref="K1201" si="732">380/12</f>
        <v>31.666666666666668</v>
      </c>
      <c r="M1201">
        <f t="shared" ref="M1201" si="733">+K1201*G1201</f>
        <v>31.666666666666668</v>
      </c>
      <c r="N1201">
        <f t="shared" ref="N1201" si="734">+I1201-M1201</f>
        <v>28.333333333333332</v>
      </c>
    </row>
    <row r="1202" spans="1:14" x14ac:dyDescent="0.25">
      <c r="A1202">
        <v>234</v>
      </c>
      <c r="B1202" s="1">
        <v>43904</v>
      </c>
      <c r="C1202" t="s">
        <v>276</v>
      </c>
      <c r="D1202" t="s">
        <v>24</v>
      </c>
      <c r="F1202" t="s">
        <v>24</v>
      </c>
      <c r="G1202">
        <v>1</v>
      </c>
      <c r="H1202">
        <v>100</v>
      </c>
      <c r="I1202">
        <f t="shared" si="686"/>
        <v>100</v>
      </c>
      <c r="J1202" t="s">
        <v>186</v>
      </c>
      <c r="K1202">
        <v>68.22</v>
      </c>
      <c r="M1202">
        <f t="shared" ref="M1202:M1203" si="735">+K1202*G1202</f>
        <v>68.22</v>
      </c>
      <c r="N1202">
        <f t="shared" ref="N1202:N1203" si="736">+I1202-M1202</f>
        <v>31.78</v>
      </c>
    </row>
    <row r="1203" spans="1:14" x14ac:dyDescent="0.25">
      <c r="A1203">
        <v>235</v>
      </c>
      <c r="B1203" s="1">
        <v>43904</v>
      </c>
      <c r="C1203" t="s">
        <v>276</v>
      </c>
      <c r="D1203" t="s">
        <v>15</v>
      </c>
      <c r="F1203" t="s">
        <v>29</v>
      </c>
      <c r="G1203">
        <v>7</v>
      </c>
      <c r="H1203">
        <v>230</v>
      </c>
      <c r="I1203">
        <f t="shared" si="686"/>
        <v>1610</v>
      </c>
      <c r="J1203" t="s">
        <v>163</v>
      </c>
      <c r="K1203">
        <v>196</v>
      </c>
      <c r="M1203">
        <f t="shared" si="735"/>
        <v>1372</v>
      </c>
      <c r="N1203">
        <f t="shared" si="736"/>
        <v>238</v>
      </c>
    </row>
    <row r="1204" spans="1:14" x14ac:dyDescent="0.25">
      <c r="A1204">
        <v>236</v>
      </c>
      <c r="B1204" s="1">
        <v>43904</v>
      </c>
      <c r="C1204" t="s">
        <v>276</v>
      </c>
      <c r="D1204" t="s">
        <v>26</v>
      </c>
      <c r="F1204" t="s">
        <v>47</v>
      </c>
      <c r="G1204">
        <f>1.44/4*3</f>
        <v>1.08</v>
      </c>
      <c r="H1204">
        <v>380</v>
      </c>
      <c r="I1204">
        <f t="shared" si="686"/>
        <v>410.40000000000003</v>
      </c>
      <c r="J1204" t="s">
        <v>99</v>
      </c>
      <c r="K1204">
        <v>347</v>
      </c>
      <c r="M1204">
        <f t="shared" ref="M1204:M1210" si="737">+K1204*G1204</f>
        <v>374.76000000000005</v>
      </c>
      <c r="N1204">
        <f t="shared" ref="N1204:N1210" si="738">+I1204-M1204</f>
        <v>35.639999999999986</v>
      </c>
    </row>
    <row r="1205" spans="1:14" x14ac:dyDescent="0.25">
      <c r="A1205">
        <v>237</v>
      </c>
      <c r="B1205" s="1">
        <v>43904</v>
      </c>
      <c r="C1205" t="s">
        <v>276</v>
      </c>
      <c r="D1205" t="s">
        <v>15</v>
      </c>
      <c r="F1205" t="s">
        <v>80</v>
      </c>
      <c r="G1205">
        <v>12</v>
      </c>
      <c r="H1205">
        <v>240</v>
      </c>
      <c r="I1205">
        <f t="shared" si="686"/>
        <v>2880</v>
      </c>
      <c r="J1205" t="s">
        <v>163</v>
      </c>
      <c r="K1205">
        <v>213</v>
      </c>
      <c r="M1205">
        <f t="shared" si="737"/>
        <v>2556</v>
      </c>
      <c r="N1205">
        <f t="shared" si="738"/>
        <v>324</v>
      </c>
    </row>
    <row r="1206" spans="1:14" x14ac:dyDescent="0.25">
      <c r="A1206">
        <v>238</v>
      </c>
      <c r="B1206" s="1">
        <v>43904</v>
      </c>
      <c r="C1206" t="s">
        <v>276</v>
      </c>
      <c r="D1206" t="s">
        <v>15</v>
      </c>
      <c r="F1206" t="s">
        <v>29</v>
      </c>
      <c r="G1206">
        <v>61</v>
      </c>
      <c r="H1206">
        <v>225</v>
      </c>
      <c r="I1206">
        <f t="shared" si="686"/>
        <v>13725</v>
      </c>
      <c r="J1206" t="s">
        <v>163</v>
      </c>
      <c r="K1206">
        <v>196</v>
      </c>
      <c r="M1206">
        <f t="shared" si="737"/>
        <v>11956</v>
      </c>
      <c r="N1206">
        <f t="shared" si="738"/>
        <v>1769</v>
      </c>
    </row>
    <row r="1207" spans="1:14" x14ac:dyDescent="0.25">
      <c r="A1207">
        <v>239</v>
      </c>
      <c r="B1207" s="1">
        <v>43904</v>
      </c>
      <c r="C1207" t="s">
        <v>276</v>
      </c>
      <c r="D1207" t="s">
        <v>15</v>
      </c>
      <c r="F1207" t="s">
        <v>292</v>
      </c>
      <c r="G1207">
        <v>2</v>
      </c>
      <c r="H1207">
        <v>230</v>
      </c>
      <c r="I1207">
        <f t="shared" si="686"/>
        <v>460</v>
      </c>
      <c r="J1207" t="s">
        <v>163</v>
      </c>
      <c r="K1207">
        <v>177</v>
      </c>
      <c r="M1207">
        <f t="shared" si="737"/>
        <v>354</v>
      </c>
      <c r="N1207">
        <f t="shared" si="738"/>
        <v>106</v>
      </c>
    </row>
    <row r="1208" spans="1:14" x14ac:dyDescent="0.25">
      <c r="A1208">
        <v>240</v>
      </c>
      <c r="B1208" s="1">
        <v>43904</v>
      </c>
      <c r="C1208" t="s">
        <v>276</v>
      </c>
      <c r="D1208" t="s">
        <v>15</v>
      </c>
      <c r="F1208" t="s">
        <v>35</v>
      </c>
      <c r="G1208">
        <v>46</v>
      </c>
      <c r="H1208">
        <v>230</v>
      </c>
      <c r="I1208">
        <f t="shared" si="686"/>
        <v>10580</v>
      </c>
      <c r="J1208" t="s">
        <v>163</v>
      </c>
      <c r="K1208">
        <v>196</v>
      </c>
      <c r="M1208">
        <f t="shared" si="737"/>
        <v>9016</v>
      </c>
      <c r="N1208">
        <f t="shared" si="738"/>
        <v>1564</v>
      </c>
    </row>
    <row r="1209" spans="1:14" x14ac:dyDescent="0.25">
      <c r="A1209">
        <v>241</v>
      </c>
      <c r="B1209" s="1">
        <v>43904</v>
      </c>
      <c r="C1209" t="s">
        <v>276</v>
      </c>
      <c r="D1209" t="s">
        <v>15</v>
      </c>
      <c r="F1209" t="s">
        <v>29</v>
      </c>
      <c r="G1209">
        <v>2</v>
      </c>
      <c r="H1209">
        <v>230</v>
      </c>
      <c r="I1209">
        <f t="shared" si="686"/>
        <v>460</v>
      </c>
      <c r="J1209" t="s">
        <v>163</v>
      </c>
      <c r="K1209">
        <v>197</v>
      </c>
      <c r="M1209">
        <f t="shared" si="737"/>
        <v>394</v>
      </c>
      <c r="N1209">
        <f t="shared" si="738"/>
        <v>66</v>
      </c>
    </row>
    <row r="1210" spans="1:14" x14ac:dyDescent="0.25">
      <c r="A1210">
        <v>242</v>
      </c>
      <c r="B1210" s="1">
        <v>43904</v>
      </c>
      <c r="C1210" t="s">
        <v>276</v>
      </c>
      <c r="D1210" t="s">
        <v>44</v>
      </c>
      <c r="F1210" t="s">
        <v>133</v>
      </c>
      <c r="G1210">
        <v>2</v>
      </c>
      <c r="H1210">
        <v>35</v>
      </c>
      <c r="I1210">
        <f t="shared" si="686"/>
        <v>70</v>
      </c>
      <c r="J1210" t="s">
        <v>166</v>
      </c>
      <c r="K1210">
        <v>26</v>
      </c>
      <c r="M1210">
        <f t="shared" si="737"/>
        <v>52</v>
      </c>
      <c r="N1210">
        <f t="shared" si="738"/>
        <v>18</v>
      </c>
    </row>
    <row r="1211" spans="1:14" x14ac:dyDescent="0.25">
      <c r="A1211">
        <v>243</v>
      </c>
      <c r="B1211" s="1">
        <v>43904</v>
      </c>
      <c r="C1211" t="s">
        <v>276</v>
      </c>
      <c r="D1211" t="s">
        <v>55</v>
      </c>
      <c r="F1211" t="s">
        <v>120</v>
      </c>
      <c r="G1211">
        <v>4</v>
      </c>
      <c r="H1211">
        <v>335.3</v>
      </c>
      <c r="I1211">
        <f t="shared" ref="I1211:I1275" si="739">+G1211*H1211</f>
        <v>1341.2</v>
      </c>
      <c r="J1211" t="s">
        <v>163</v>
      </c>
      <c r="K1211">
        <v>227</v>
      </c>
      <c r="M1211">
        <f t="shared" ref="M1211:M1215" si="740">+K1211*G1211</f>
        <v>908</v>
      </c>
      <c r="N1211">
        <f t="shared" ref="N1211:N1215" si="741">+I1211-M1211</f>
        <v>433.20000000000005</v>
      </c>
    </row>
    <row r="1212" spans="1:14" x14ac:dyDescent="0.25">
      <c r="A1212">
        <v>244</v>
      </c>
      <c r="B1212" s="1">
        <v>43904</v>
      </c>
      <c r="C1212" t="s">
        <v>276</v>
      </c>
      <c r="D1212" t="s">
        <v>15</v>
      </c>
      <c r="F1212" t="s">
        <v>252</v>
      </c>
      <c r="G1212">
        <v>1</v>
      </c>
      <c r="H1212">
        <v>280</v>
      </c>
      <c r="I1212">
        <f t="shared" si="739"/>
        <v>280</v>
      </c>
      <c r="J1212" t="s">
        <v>163</v>
      </c>
      <c r="K1212">
        <v>215</v>
      </c>
      <c r="M1212">
        <f t="shared" si="740"/>
        <v>215</v>
      </c>
      <c r="N1212">
        <f t="shared" si="741"/>
        <v>65</v>
      </c>
    </row>
    <row r="1213" spans="1:14" x14ac:dyDescent="0.25">
      <c r="A1213">
        <v>245</v>
      </c>
      <c r="B1213" s="1">
        <v>43904</v>
      </c>
      <c r="C1213" t="s">
        <v>276</v>
      </c>
      <c r="D1213" t="s">
        <v>25</v>
      </c>
      <c r="F1213" t="s">
        <v>172</v>
      </c>
      <c r="G1213">
        <v>3</v>
      </c>
      <c r="H1213">
        <v>100</v>
      </c>
      <c r="I1213">
        <f t="shared" si="739"/>
        <v>300</v>
      </c>
      <c r="J1213" t="s">
        <v>163</v>
      </c>
      <c r="K1213">
        <v>76</v>
      </c>
      <c r="M1213">
        <f t="shared" si="740"/>
        <v>228</v>
      </c>
      <c r="N1213">
        <f t="shared" si="741"/>
        <v>72</v>
      </c>
    </row>
    <row r="1214" spans="1:14" x14ac:dyDescent="0.25">
      <c r="A1214">
        <v>246</v>
      </c>
      <c r="B1214" s="1">
        <v>43904</v>
      </c>
      <c r="C1214" t="s">
        <v>276</v>
      </c>
      <c r="D1214" t="s">
        <v>15</v>
      </c>
      <c r="F1214" t="s">
        <v>54</v>
      </c>
      <c r="G1214">
        <v>1</v>
      </c>
      <c r="H1214">
        <v>240</v>
      </c>
      <c r="I1214">
        <f t="shared" si="739"/>
        <v>240</v>
      </c>
      <c r="J1214" t="s">
        <v>163</v>
      </c>
      <c r="K1214">
        <v>214</v>
      </c>
      <c r="M1214">
        <f t="shared" si="740"/>
        <v>214</v>
      </c>
      <c r="N1214">
        <f t="shared" si="741"/>
        <v>26</v>
      </c>
    </row>
    <row r="1215" spans="1:14" x14ac:dyDescent="0.25">
      <c r="A1215">
        <v>247</v>
      </c>
      <c r="B1215" s="1">
        <v>43904</v>
      </c>
      <c r="C1215" t="s">
        <v>276</v>
      </c>
      <c r="D1215" t="s">
        <v>25</v>
      </c>
      <c r="F1215" t="s">
        <v>145</v>
      </c>
      <c r="G1215">
        <v>1</v>
      </c>
      <c r="H1215">
        <v>100</v>
      </c>
      <c r="I1215">
        <f t="shared" si="739"/>
        <v>100</v>
      </c>
      <c r="J1215" t="s">
        <v>163</v>
      </c>
      <c r="K1215">
        <v>76</v>
      </c>
      <c r="M1215">
        <f t="shared" si="740"/>
        <v>76</v>
      </c>
      <c r="N1215">
        <f t="shared" si="741"/>
        <v>24</v>
      </c>
    </row>
    <row r="1216" spans="1:14" x14ac:dyDescent="0.25">
      <c r="A1216">
        <v>248</v>
      </c>
      <c r="B1216" s="1">
        <v>43904</v>
      </c>
      <c r="C1216" t="s">
        <v>276</v>
      </c>
      <c r="D1216" t="s">
        <v>25</v>
      </c>
      <c r="F1216" t="s">
        <v>60</v>
      </c>
      <c r="G1216">
        <v>1</v>
      </c>
      <c r="H1216">
        <v>60</v>
      </c>
      <c r="I1216">
        <f t="shared" si="739"/>
        <v>60</v>
      </c>
      <c r="J1216" t="s">
        <v>165</v>
      </c>
      <c r="K1216">
        <f t="shared" ref="K1216" si="742">380/12</f>
        <v>31.666666666666668</v>
      </c>
      <c r="M1216">
        <f t="shared" ref="M1216:M1217" si="743">+K1216*G1216</f>
        <v>31.666666666666668</v>
      </c>
      <c r="N1216">
        <f t="shared" ref="N1216:N1217" si="744">+I1216-M1216</f>
        <v>28.333333333333332</v>
      </c>
    </row>
    <row r="1217" spans="1:14" x14ac:dyDescent="0.25">
      <c r="A1217">
        <v>249</v>
      </c>
      <c r="B1217" s="1">
        <v>43904</v>
      </c>
      <c r="C1217" t="s">
        <v>276</v>
      </c>
      <c r="D1217" t="s">
        <v>15</v>
      </c>
      <c r="F1217" t="s">
        <v>219</v>
      </c>
      <c r="G1217">
        <f>2/9</f>
        <v>0.22222222222222221</v>
      </c>
      <c r="H1217">
        <v>230</v>
      </c>
      <c r="I1217">
        <f t="shared" si="739"/>
        <v>51.111111111111107</v>
      </c>
      <c r="J1217" t="s">
        <v>163</v>
      </c>
      <c r="K1217">
        <v>196</v>
      </c>
      <c r="M1217">
        <f t="shared" si="743"/>
        <v>43.55555555555555</v>
      </c>
      <c r="N1217">
        <f t="shared" si="744"/>
        <v>7.5555555555555571</v>
      </c>
    </row>
    <row r="1218" spans="1:14" x14ac:dyDescent="0.25">
      <c r="A1218">
        <v>250</v>
      </c>
      <c r="B1218" s="1">
        <v>43904</v>
      </c>
      <c r="C1218" t="s">
        <v>276</v>
      </c>
      <c r="D1218" t="s">
        <v>25</v>
      </c>
      <c r="F1218" t="s">
        <v>83</v>
      </c>
      <c r="G1218">
        <v>1</v>
      </c>
      <c r="H1218">
        <v>60</v>
      </c>
      <c r="I1218">
        <f t="shared" si="739"/>
        <v>60</v>
      </c>
      <c r="J1218" t="s">
        <v>165</v>
      </c>
      <c r="K1218">
        <f t="shared" ref="K1218" si="745">380/12</f>
        <v>31.666666666666668</v>
      </c>
      <c r="M1218">
        <f t="shared" ref="M1218" si="746">+K1218*G1218</f>
        <v>31.666666666666668</v>
      </c>
      <c r="N1218">
        <f t="shared" ref="N1218" si="747">+I1218-M1218</f>
        <v>28.333333333333332</v>
      </c>
    </row>
    <row r="1219" spans="1:14" x14ac:dyDescent="0.25">
      <c r="A1219">
        <v>251</v>
      </c>
      <c r="B1219" s="1">
        <v>43904</v>
      </c>
      <c r="C1219" t="s">
        <v>276</v>
      </c>
      <c r="D1219" t="s">
        <v>92</v>
      </c>
      <c r="F1219" t="s">
        <v>91</v>
      </c>
      <c r="G1219">
        <v>1</v>
      </c>
      <c r="H1219">
        <v>80</v>
      </c>
      <c r="I1219">
        <f t="shared" si="739"/>
        <v>80</v>
      </c>
      <c r="J1219" t="s">
        <v>166</v>
      </c>
    </row>
    <row r="1220" spans="1:14" x14ac:dyDescent="0.25">
      <c r="A1220">
        <v>252</v>
      </c>
      <c r="B1220" s="1">
        <v>43906</v>
      </c>
      <c r="C1220" t="s">
        <v>276</v>
      </c>
      <c r="D1220" t="s">
        <v>15</v>
      </c>
      <c r="F1220" t="s">
        <v>29</v>
      </c>
      <c r="G1220">
        <v>1.53</v>
      </c>
      <c r="H1220">
        <v>230</v>
      </c>
      <c r="I1220">
        <f t="shared" si="739"/>
        <v>351.90000000000003</v>
      </c>
      <c r="J1220" t="s">
        <v>163</v>
      </c>
      <c r="K1220">
        <v>197</v>
      </c>
      <c r="M1220">
        <f t="shared" ref="M1220" si="748">+K1220*G1220</f>
        <v>301.41000000000003</v>
      </c>
      <c r="N1220">
        <f t="shared" ref="N1220" si="749">+I1220-M1220</f>
        <v>50.490000000000009</v>
      </c>
    </row>
    <row r="1221" spans="1:14" x14ac:dyDescent="0.25">
      <c r="A1221">
        <v>253</v>
      </c>
      <c r="B1221" s="1">
        <v>43906</v>
      </c>
      <c r="C1221" t="s">
        <v>276</v>
      </c>
      <c r="D1221" t="s">
        <v>15</v>
      </c>
      <c r="F1221" t="s">
        <v>80</v>
      </c>
      <c r="G1221">
        <f>1.3*2.31</f>
        <v>3.0030000000000001</v>
      </c>
      <c r="H1221">
        <v>240</v>
      </c>
      <c r="I1221">
        <f t="shared" si="739"/>
        <v>720.72</v>
      </c>
      <c r="J1221" t="s">
        <v>163</v>
      </c>
      <c r="K1221">
        <v>213</v>
      </c>
      <c r="M1221">
        <f t="shared" ref="M1221:M1222" si="750">+K1221*G1221</f>
        <v>639.63900000000001</v>
      </c>
      <c r="N1221">
        <f t="shared" ref="N1221:N1222" si="751">+I1221-M1221</f>
        <v>81.081000000000017</v>
      </c>
    </row>
    <row r="1222" spans="1:14" x14ac:dyDescent="0.25">
      <c r="A1222">
        <v>254</v>
      </c>
      <c r="B1222" s="1">
        <v>43906</v>
      </c>
      <c r="C1222" t="s">
        <v>276</v>
      </c>
      <c r="D1222" t="s">
        <v>15</v>
      </c>
      <c r="F1222" t="s">
        <v>80</v>
      </c>
      <c r="G1222">
        <v>4</v>
      </c>
      <c r="H1222">
        <v>230</v>
      </c>
      <c r="I1222">
        <f t="shared" si="739"/>
        <v>920</v>
      </c>
      <c r="J1222" t="s">
        <v>163</v>
      </c>
      <c r="K1222">
        <v>213</v>
      </c>
      <c r="M1222">
        <f t="shared" si="750"/>
        <v>852</v>
      </c>
      <c r="N1222">
        <f t="shared" si="751"/>
        <v>68</v>
      </c>
    </row>
    <row r="1223" spans="1:14" x14ac:dyDescent="0.25">
      <c r="A1223">
        <v>255</v>
      </c>
      <c r="B1223" s="1">
        <v>43906</v>
      </c>
      <c r="C1223" t="s">
        <v>276</v>
      </c>
      <c r="D1223" t="s">
        <v>55</v>
      </c>
      <c r="F1223" t="s">
        <v>108</v>
      </c>
      <c r="G1223">
        <v>1</v>
      </c>
      <c r="H1223">
        <v>300</v>
      </c>
      <c r="I1223">
        <f t="shared" si="739"/>
        <v>300</v>
      </c>
      <c r="J1223" t="s">
        <v>167</v>
      </c>
      <c r="K1223">
        <v>268</v>
      </c>
      <c r="M1223">
        <f t="shared" ref="M1223:M1226" si="752">+K1223*G1223</f>
        <v>268</v>
      </c>
      <c r="N1223">
        <f t="shared" ref="N1223:N1226" si="753">+I1223-M1223</f>
        <v>32</v>
      </c>
    </row>
    <row r="1224" spans="1:14" x14ac:dyDescent="0.25">
      <c r="A1224">
        <v>256</v>
      </c>
      <c r="B1224" s="1">
        <v>43906</v>
      </c>
      <c r="C1224" t="s">
        <v>276</v>
      </c>
      <c r="D1224" t="s">
        <v>55</v>
      </c>
      <c r="F1224" t="s">
        <v>228</v>
      </c>
      <c r="G1224">
        <v>4</v>
      </c>
      <c r="H1224">
        <v>300</v>
      </c>
      <c r="I1224">
        <f t="shared" si="739"/>
        <v>1200</v>
      </c>
      <c r="J1224" t="s">
        <v>167</v>
      </c>
      <c r="K1224">
        <v>268</v>
      </c>
      <c r="M1224">
        <f t="shared" si="752"/>
        <v>1072</v>
      </c>
      <c r="N1224">
        <f t="shared" si="753"/>
        <v>128</v>
      </c>
    </row>
    <row r="1225" spans="1:14" x14ac:dyDescent="0.25">
      <c r="A1225">
        <v>257</v>
      </c>
      <c r="B1225" s="1">
        <v>43906</v>
      </c>
      <c r="C1225" t="s">
        <v>276</v>
      </c>
      <c r="D1225" t="s">
        <v>25</v>
      </c>
      <c r="F1225" t="s">
        <v>61</v>
      </c>
      <c r="G1225">
        <v>3</v>
      </c>
      <c r="H1225">
        <v>60</v>
      </c>
      <c r="I1225">
        <f t="shared" si="739"/>
        <v>180</v>
      </c>
      <c r="J1225" t="s">
        <v>165</v>
      </c>
      <c r="K1225">
        <f t="shared" ref="K1225" si="754">380/12</f>
        <v>31.666666666666668</v>
      </c>
      <c r="M1225">
        <f t="shared" si="752"/>
        <v>95</v>
      </c>
      <c r="N1225">
        <f t="shared" si="753"/>
        <v>85</v>
      </c>
    </row>
    <row r="1226" spans="1:14" x14ac:dyDescent="0.25">
      <c r="A1226">
        <v>258</v>
      </c>
      <c r="B1226" s="1">
        <v>43906</v>
      </c>
      <c r="C1226" t="s">
        <v>276</v>
      </c>
      <c r="D1226" t="s">
        <v>15</v>
      </c>
      <c r="F1226" t="s">
        <v>252</v>
      </c>
      <c r="G1226">
        <v>1.53</v>
      </c>
      <c r="H1226">
        <v>280</v>
      </c>
      <c r="I1226">
        <f t="shared" si="739"/>
        <v>428.40000000000003</v>
      </c>
      <c r="J1226" t="s">
        <v>163</v>
      </c>
      <c r="K1226">
        <v>215</v>
      </c>
      <c r="M1226">
        <f t="shared" si="752"/>
        <v>328.95</v>
      </c>
      <c r="N1226">
        <f t="shared" si="753"/>
        <v>99.450000000000045</v>
      </c>
    </row>
    <row r="1227" spans="1:14" x14ac:dyDescent="0.25">
      <c r="A1227">
        <v>259</v>
      </c>
      <c r="B1227" s="1">
        <v>43906</v>
      </c>
      <c r="C1227" t="s">
        <v>276</v>
      </c>
      <c r="D1227" t="s">
        <v>15</v>
      </c>
      <c r="F1227" t="s">
        <v>271</v>
      </c>
      <c r="G1227">
        <v>10</v>
      </c>
      <c r="H1227">
        <v>300</v>
      </c>
      <c r="I1227">
        <f t="shared" si="739"/>
        <v>3000</v>
      </c>
      <c r="J1227" t="s">
        <v>167</v>
      </c>
      <c r="K1227">
        <v>268</v>
      </c>
      <c r="M1227">
        <f t="shared" ref="M1227:M1228" si="755">+K1227*G1227</f>
        <v>2680</v>
      </c>
      <c r="N1227">
        <f t="shared" ref="N1227:N1228" si="756">+I1227-M1227</f>
        <v>320</v>
      </c>
    </row>
    <row r="1228" spans="1:14" x14ac:dyDescent="0.25">
      <c r="A1228">
        <v>260</v>
      </c>
      <c r="B1228" s="1">
        <v>43906</v>
      </c>
      <c r="C1228" t="s">
        <v>276</v>
      </c>
      <c r="D1228" t="s">
        <v>15</v>
      </c>
      <c r="F1228" t="s">
        <v>303</v>
      </c>
      <c r="G1228">
        <v>30</v>
      </c>
      <c r="H1228">
        <v>240</v>
      </c>
      <c r="I1228">
        <f t="shared" si="739"/>
        <v>7200</v>
      </c>
      <c r="J1228" t="s">
        <v>167</v>
      </c>
      <c r="K1228">
        <v>206</v>
      </c>
      <c r="M1228">
        <f t="shared" si="755"/>
        <v>6180</v>
      </c>
      <c r="N1228">
        <f t="shared" si="756"/>
        <v>1020</v>
      </c>
    </row>
    <row r="1229" spans="1:14" x14ac:dyDescent="0.25">
      <c r="A1229">
        <v>261</v>
      </c>
      <c r="B1229" s="1">
        <v>43906</v>
      </c>
      <c r="C1229" t="s">
        <v>276</v>
      </c>
      <c r="D1229" t="s">
        <v>15</v>
      </c>
      <c r="F1229" t="s">
        <v>17</v>
      </c>
      <c r="G1229">
        <v>3.66</v>
      </c>
      <c r="H1229">
        <v>380</v>
      </c>
      <c r="I1229">
        <f t="shared" si="739"/>
        <v>1390.8</v>
      </c>
      <c r="J1229" t="s">
        <v>13</v>
      </c>
      <c r="K1229">
        <v>330</v>
      </c>
      <c r="M1229">
        <f t="shared" ref="M1229:M1231" si="757">+K1229*G1229</f>
        <v>1207.8</v>
      </c>
      <c r="N1229">
        <f t="shared" ref="N1229:N1231" si="758">+I1229-M1229</f>
        <v>183</v>
      </c>
    </row>
    <row r="1230" spans="1:14" x14ac:dyDescent="0.25">
      <c r="A1230">
        <v>262</v>
      </c>
      <c r="B1230" s="1">
        <v>43906</v>
      </c>
      <c r="C1230" t="s">
        <v>276</v>
      </c>
      <c r="D1230" t="s">
        <v>15</v>
      </c>
      <c r="F1230" t="s">
        <v>153</v>
      </c>
      <c r="G1230">
        <v>4</v>
      </c>
      <c r="H1230">
        <v>288</v>
      </c>
      <c r="I1230">
        <f t="shared" si="739"/>
        <v>1152</v>
      </c>
      <c r="J1230" t="s">
        <v>163</v>
      </c>
      <c r="K1230">
        <v>220</v>
      </c>
      <c r="M1230">
        <f t="shared" si="757"/>
        <v>880</v>
      </c>
      <c r="N1230">
        <f t="shared" si="758"/>
        <v>272</v>
      </c>
    </row>
    <row r="1231" spans="1:14" x14ac:dyDescent="0.25">
      <c r="A1231">
        <v>263</v>
      </c>
      <c r="B1231" s="1">
        <v>43906</v>
      </c>
      <c r="C1231" t="s">
        <v>276</v>
      </c>
      <c r="D1231" t="s">
        <v>56</v>
      </c>
      <c r="F1231" t="s">
        <v>267</v>
      </c>
      <c r="G1231">
        <v>4</v>
      </c>
      <c r="H1231">
        <v>170</v>
      </c>
      <c r="I1231">
        <f t="shared" si="739"/>
        <v>680</v>
      </c>
      <c r="J1231" t="s">
        <v>163</v>
      </c>
      <c r="K1231">
        <v>121</v>
      </c>
      <c r="M1231">
        <f t="shared" si="757"/>
        <v>484</v>
      </c>
      <c r="N1231">
        <f t="shared" si="758"/>
        <v>196</v>
      </c>
    </row>
    <row r="1232" spans="1:14" x14ac:dyDescent="0.25">
      <c r="A1232">
        <v>264</v>
      </c>
      <c r="B1232" s="1">
        <v>43906</v>
      </c>
      <c r="C1232" t="s">
        <v>276</v>
      </c>
      <c r="D1232" t="s">
        <v>25</v>
      </c>
      <c r="F1232" t="s">
        <v>83</v>
      </c>
      <c r="G1232">
        <v>2</v>
      </c>
      <c r="H1232">
        <v>60</v>
      </c>
      <c r="I1232">
        <f t="shared" si="739"/>
        <v>120</v>
      </c>
      <c r="J1232" t="s">
        <v>165</v>
      </c>
      <c r="K1232">
        <f t="shared" ref="K1232" si="759">380/12</f>
        <v>31.666666666666668</v>
      </c>
      <c r="M1232">
        <f t="shared" ref="M1232" si="760">+K1232*G1232</f>
        <v>63.333333333333336</v>
      </c>
      <c r="N1232">
        <f t="shared" ref="N1232" si="761">+I1232-M1232</f>
        <v>56.666666666666664</v>
      </c>
    </row>
    <row r="1233" spans="1:14" x14ac:dyDescent="0.25">
      <c r="A1233">
        <v>265</v>
      </c>
      <c r="B1233" s="1">
        <v>43906</v>
      </c>
      <c r="C1233" t="s">
        <v>276</v>
      </c>
      <c r="D1233" t="s">
        <v>55</v>
      </c>
      <c r="F1233" t="s">
        <v>97</v>
      </c>
      <c r="G1233">
        <v>3</v>
      </c>
      <c r="H1233">
        <v>280</v>
      </c>
      <c r="I1233">
        <f t="shared" si="739"/>
        <v>840</v>
      </c>
      <c r="J1233" t="s">
        <v>167</v>
      </c>
      <c r="K1233">
        <v>207</v>
      </c>
      <c r="M1233">
        <f t="shared" ref="M1233:M1234" si="762">+K1233*G1233</f>
        <v>621</v>
      </c>
      <c r="N1233">
        <f t="shared" ref="N1233:N1234" si="763">+I1233-M1233</f>
        <v>219</v>
      </c>
    </row>
    <row r="1234" spans="1:14" x14ac:dyDescent="0.25">
      <c r="A1234">
        <v>266</v>
      </c>
      <c r="B1234" s="1">
        <v>43906</v>
      </c>
      <c r="C1234" t="s">
        <v>276</v>
      </c>
      <c r="D1234" t="s">
        <v>15</v>
      </c>
      <c r="F1234" t="s">
        <v>252</v>
      </c>
      <c r="G1234">
        <f>6/9</f>
        <v>0.66666666666666663</v>
      </c>
      <c r="H1234">
        <v>280</v>
      </c>
      <c r="I1234">
        <f t="shared" si="739"/>
        <v>186.66666666666666</v>
      </c>
      <c r="J1234" t="s">
        <v>163</v>
      </c>
      <c r="K1234">
        <v>215</v>
      </c>
      <c r="M1234">
        <f t="shared" si="762"/>
        <v>143.33333333333331</v>
      </c>
      <c r="N1234">
        <f t="shared" si="763"/>
        <v>43.333333333333343</v>
      </c>
    </row>
    <row r="1235" spans="1:14" x14ac:dyDescent="0.25">
      <c r="A1235">
        <v>267</v>
      </c>
      <c r="B1235" s="1">
        <v>43906</v>
      </c>
      <c r="C1235" t="s">
        <v>276</v>
      </c>
      <c r="D1235" t="s">
        <v>25</v>
      </c>
      <c r="F1235" t="s">
        <v>145</v>
      </c>
      <c r="G1235">
        <v>2</v>
      </c>
      <c r="H1235">
        <v>100</v>
      </c>
      <c r="I1235">
        <f t="shared" si="739"/>
        <v>200</v>
      </c>
      <c r="J1235" t="s">
        <v>163</v>
      </c>
      <c r="K1235">
        <v>76</v>
      </c>
      <c r="M1235">
        <f t="shared" ref="M1235:M1237" si="764">+K1235*G1235</f>
        <v>152</v>
      </c>
      <c r="N1235">
        <f t="shared" ref="N1235:N1237" si="765">+I1235-M1235</f>
        <v>48</v>
      </c>
    </row>
    <row r="1236" spans="1:14" x14ac:dyDescent="0.25">
      <c r="A1236">
        <v>268</v>
      </c>
      <c r="B1236" s="1">
        <v>43907</v>
      </c>
      <c r="C1236" t="s">
        <v>276</v>
      </c>
      <c r="D1236" t="s">
        <v>15</v>
      </c>
      <c r="F1236" t="s">
        <v>54</v>
      </c>
      <c r="G1236">
        <v>10</v>
      </c>
      <c r="H1236">
        <v>240</v>
      </c>
      <c r="I1236">
        <f t="shared" si="739"/>
        <v>2400</v>
      </c>
      <c r="J1236" t="s">
        <v>163</v>
      </c>
      <c r="K1236">
        <v>214</v>
      </c>
      <c r="M1236">
        <f t="shared" si="764"/>
        <v>2140</v>
      </c>
      <c r="N1236">
        <f t="shared" si="765"/>
        <v>260</v>
      </c>
    </row>
    <row r="1237" spans="1:14" x14ac:dyDescent="0.25">
      <c r="A1237">
        <v>269</v>
      </c>
      <c r="B1237" s="1">
        <v>43907</v>
      </c>
      <c r="C1237" t="s">
        <v>276</v>
      </c>
      <c r="D1237" t="s">
        <v>56</v>
      </c>
      <c r="F1237" t="s">
        <v>267</v>
      </c>
      <c r="G1237">
        <v>3</v>
      </c>
      <c r="H1237">
        <v>170</v>
      </c>
      <c r="I1237">
        <f t="shared" si="739"/>
        <v>510</v>
      </c>
      <c r="J1237" t="s">
        <v>163</v>
      </c>
      <c r="K1237">
        <v>121</v>
      </c>
      <c r="M1237">
        <f t="shared" si="764"/>
        <v>363</v>
      </c>
      <c r="N1237">
        <f t="shared" si="765"/>
        <v>147</v>
      </c>
    </row>
    <row r="1238" spans="1:14" x14ac:dyDescent="0.25">
      <c r="A1238">
        <v>270</v>
      </c>
      <c r="B1238" s="1">
        <v>43907</v>
      </c>
      <c r="C1238" t="s">
        <v>276</v>
      </c>
      <c r="D1238" t="s">
        <v>15</v>
      </c>
      <c r="F1238" t="s">
        <v>297</v>
      </c>
      <c r="G1238">
        <v>6</v>
      </c>
      <c r="H1238">
        <v>240</v>
      </c>
      <c r="I1238">
        <f t="shared" si="739"/>
        <v>1440</v>
      </c>
      <c r="J1238" t="s">
        <v>163</v>
      </c>
      <c r="K1238">
        <v>207</v>
      </c>
    </row>
    <row r="1239" spans="1:14" x14ac:dyDescent="0.25">
      <c r="A1239">
        <v>271</v>
      </c>
      <c r="B1239" s="1">
        <v>43907</v>
      </c>
      <c r="C1239" t="s">
        <v>276</v>
      </c>
      <c r="D1239" t="s">
        <v>15</v>
      </c>
      <c r="F1239" t="s">
        <v>45</v>
      </c>
      <c r="G1239">
        <v>1</v>
      </c>
      <c r="H1239">
        <v>300</v>
      </c>
      <c r="I1239">
        <f t="shared" si="739"/>
        <v>300</v>
      </c>
      <c r="J1239" t="s">
        <v>13</v>
      </c>
      <c r="K1239">
        <v>280</v>
      </c>
      <c r="M1239">
        <f t="shared" ref="M1239:M1242" si="766">+K1239*G1239</f>
        <v>280</v>
      </c>
      <c r="N1239">
        <f t="shared" ref="N1239:N1242" si="767">+I1239-M1239</f>
        <v>20</v>
      </c>
    </row>
    <row r="1240" spans="1:14" x14ac:dyDescent="0.25">
      <c r="A1240">
        <v>272</v>
      </c>
      <c r="B1240" s="1">
        <v>43907</v>
      </c>
      <c r="C1240" t="s">
        <v>276</v>
      </c>
      <c r="D1240" t="s">
        <v>55</v>
      </c>
      <c r="F1240" t="s">
        <v>270</v>
      </c>
      <c r="G1240">
        <v>2</v>
      </c>
      <c r="H1240">
        <v>300</v>
      </c>
      <c r="I1240">
        <f t="shared" si="739"/>
        <v>600</v>
      </c>
      <c r="J1240" t="s">
        <v>167</v>
      </c>
      <c r="K1240">
        <v>268</v>
      </c>
      <c r="M1240">
        <f t="shared" si="766"/>
        <v>536</v>
      </c>
      <c r="N1240">
        <f t="shared" si="767"/>
        <v>64</v>
      </c>
    </row>
    <row r="1241" spans="1:14" x14ac:dyDescent="0.25">
      <c r="A1241">
        <v>273</v>
      </c>
      <c r="B1241" s="1">
        <v>43907</v>
      </c>
      <c r="C1241" t="s">
        <v>276</v>
      </c>
      <c r="D1241" t="s">
        <v>15</v>
      </c>
      <c r="F1241" t="s">
        <v>29</v>
      </c>
      <c r="G1241">
        <f>6/9</f>
        <v>0.66666666666666663</v>
      </c>
      <c r="H1241">
        <v>230</v>
      </c>
      <c r="I1241">
        <f t="shared" si="739"/>
        <v>153.33333333333331</v>
      </c>
      <c r="J1241" t="s">
        <v>163</v>
      </c>
      <c r="K1241">
        <v>197</v>
      </c>
      <c r="M1241">
        <f t="shared" si="766"/>
        <v>131.33333333333331</v>
      </c>
      <c r="N1241">
        <f t="shared" si="767"/>
        <v>22</v>
      </c>
    </row>
    <row r="1242" spans="1:14" x14ac:dyDescent="0.25">
      <c r="A1242">
        <v>274</v>
      </c>
      <c r="B1242" s="1">
        <v>43907</v>
      </c>
      <c r="C1242" t="s">
        <v>276</v>
      </c>
      <c r="D1242" t="s">
        <v>44</v>
      </c>
      <c r="F1242" t="s">
        <v>133</v>
      </c>
      <c r="G1242">
        <v>1</v>
      </c>
      <c r="H1242">
        <v>35</v>
      </c>
      <c r="I1242">
        <f t="shared" si="739"/>
        <v>35</v>
      </c>
      <c r="J1242" t="s">
        <v>166</v>
      </c>
      <c r="K1242">
        <v>26</v>
      </c>
      <c r="M1242">
        <f t="shared" si="766"/>
        <v>26</v>
      </c>
      <c r="N1242">
        <f t="shared" si="767"/>
        <v>9</v>
      </c>
    </row>
    <row r="1243" spans="1:14" x14ac:dyDescent="0.25">
      <c r="A1243">
        <v>275</v>
      </c>
      <c r="B1243" s="1">
        <v>43907</v>
      </c>
      <c r="C1243" t="s">
        <v>276</v>
      </c>
      <c r="D1243" t="s">
        <v>56</v>
      </c>
      <c r="F1243" t="s">
        <v>267</v>
      </c>
      <c r="G1243">
        <v>1</v>
      </c>
      <c r="H1243">
        <v>170</v>
      </c>
      <c r="I1243">
        <f t="shared" si="739"/>
        <v>170</v>
      </c>
      <c r="J1243" t="s">
        <v>163</v>
      </c>
      <c r="K1243">
        <v>121</v>
      </c>
      <c r="M1243">
        <f t="shared" ref="M1243" si="768">+K1243*G1243</f>
        <v>121</v>
      </c>
      <c r="N1243">
        <f t="shared" ref="N1243" si="769">+I1243-M1243</f>
        <v>49</v>
      </c>
    </row>
    <row r="1244" spans="1:14" x14ac:dyDescent="0.25">
      <c r="A1244">
        <v>276</v>
      </c>
      <c r="B1244" s="1">
        <v>43907</v>
      </c>
      <c r="C1244" t="s">
        <v>276</v>
      </c>
      <c r="D1244" t="s">
        <v>15</v>
      </c>
      <c r="F1244" t="s">
        <v>297</v>
      </c>
      <c r="G1244">
        <f>3/9</f>
        <v>0.33333333333333331</v>
      </c>
      <c r="H1244">
        <v>240</v>
      </c>
      <c r="I1244">
        <f t="shared" si="739"/>
        <v>80</v>
      </c>
      <c r="J1244" t="s">
        <v>163</v>
      </c>
      <c r="K1244">
        <v>207</v>
      </c>
    </row>
    <row r="1245" spans="1:14" x14ac:dyDescent="0.25">
      <c r="A1245">
        <v>277</v>
      </c>
      <c r="B1245" s="1">
        <v>43907</v>
      </c>
      <c r="C1245" t="s">
        <v>276</v>
      </c>
      <c r="D1245" t="s">
        <v>55</v>
      </c>
      <c r="F1245" t="s">
        <v>22</v>
      </c>
      <c r="G1245">
        <v>2</v>
      </c>
      <c r="H1245">
        <v>300</v>
      </c>
      <c r="I1245">
        <f t="shared" si="739"/>
        <v>600</v>
      </c>
      <c r="J1245" t="s">
        <v>167</v>
      </c>
      <c r="K1245">
        <v>268</v>
      </c>
      <c r="M1245">
        <f t="shared" ref="M1245:M1246" si="770">+K1245*G1245</f>
        <v>536</v>
      </c>
      <c r="N1245">
        <f t="shared" ref="N1245:N1246" si="771">+I1245-M1245</f>
        <v>64</v>
      </c>
    </row>
    <row r="1246" spans="1:14" x14ac:dyDescent="0.25">
      <c r="A1246">
        <v>278</v>
      </c>
      <c r="B1246" s="1">
        <v>43907</v>
      </c>
      <c r="C1246" t="s">
        <v>276</v>
      </c>
      <c r="D1246" t="s">
        <v>56</v>
      </c>
      <c r="F1246" t="s">
        <v>267</v>
      </c>
      <c r="G1246">
        <v>1</v>
      </c>
      <c r="H1246">
        <v>170</v>
      </c>
      <c r="I1246">
        <f t="shared" si="739"/>
        <v>170</v>
      </c>
      <c r="J1246" t="s">
        <v>163</v>
      </c>
      <c r="K1246">
        <v>121</v>
      </c>
      <c r="M1246">
        <f t="shared" si="770"/>
        <v>121</v>
      </c>
      <c r="N1246">
        <f t="shared" si="771"/>
        <v>49</v>
      </c>
    </row>
    <row r="1247" spans="1:14" x14ac:dyDescent="0.25">
      <c r="A1247">
        <v>279</v>
      </c>
      <c r="B1247" s="1">
        <v>43907</v>
      </c>
      <c r="C1247" t="s">
        <v>276</v>
      </c>
      <c r="D1247" t="s">
        <v>15</v>
      </c>
      <c r="F1247" t="s">
        <v>33</v>
      </c>
      <c r="G1247">
        <f>6/9</f>
        <v>0.66666666666666663</v>
      </c>
      <c r="H1247">
        <v>230</v>
      </c>
      <c r="I1247">
        <f t="shared" si="739"/>
        <v>153.33333333333331</v>
      </c>
      <c r="J1247" t="s">
        <v>163</v>
      </c>
      <c r="K1247">
        <v>182</v>
      </c>
      <c r="M1247">
        <f t="shared" ref="M1247:M1248" si="772">+K1247*G1247</f>
        <v>121.33333333333333</v>
      </c>
      <c r="N1247">
        <f t="shared" ref="N1247:N1248" si="773">+I1247-M1247</f>
        <v>31.999999999999986</v>
      </c>
    </row>
    <row r="1248" spans="1:14" x14ac:dyDescent="0.25">
      <c r="A1248">
        <v>280</v>
      </c>
      <c r="B1248" s="1">
        <v>43907</v>
      </c>
      <c r="C1248" t="s">
        <v>276</v>
      </c>
      <c r="D1248" t="s">
        <v>15</v>
      </c>
      <c r="F1248" t="s">
        <v>54</v>
      </c>
      <c r="G1248">
        <v>1</v>
      </c>
      <c r="H1248">
        <v>240</v>
      </c>
      <c r="I1248">
        <f t="shared" si="739"/>
        <v>240</v>
      </c>
      <c r="J1248" t="s">
        <v>163</v>
      </c>
      <c r="K1248">
        <v>214</v>
      </c>
      <c r="M1248">
        <f t="shared" si="772"/>
        <v>214</v>
      </c>
      <c r="N1248">
        <f t="shared" si="773"/>
        <v>26</v>
      </c>
    </row>
    <row r="1249" spans="1:14" x14ac:dyDescent="0.25">
      <c r="A1249">
        <v>281</v>
      </c>
      <c r="B1249" s="1">
        <v>43907</v>
      </c>
      <c r="C1249" t="s">
        <v>276</v>
      </c>
      <c r="D1249" t="s">
        <v>55</v>
      </c>
      <c r="F1249" t="s">
        <v>149</v>
      </c>
      <c r="G1249">
        <v>8</v>
      </c>
      <c r="H1249">
        <v>300</v>
      </c>
      <c r="I1249">
        <f t="shared" si="739"/>
        <v>2400</v>
      </c>
      <c r="J1249" t="s">
        <v>167</v>
      </c>
      <c r="K1249">
        <v>268</v>
      </c>
      <c r="M1249">
        <f t="shared" ref="M1249:M1251" si="774">+K1249*G1249</f>
        <v>2144</v>
      </c>
      <c r="N1249">
        <f t="shared" ref="N1249:N1251" si="775">+I1249-M1249</f>
        <v>256</v>
      </c>
    </row>
    <row r="1250" spans="1:14" x14ac:dyDescent="0.25">
      <c r="A1250">
        <v>282</v>
      </c>
      <c r="B1250" s="1">
        <v>43907</v>
      </c>
      <c r="C1250" t="s">
        <v>276</v>
      </c>
      <c r="D1250" t="s">
        <v>55</v>
      </c>
      <c r="F1250" t="s">
        <v>97</v>
      </c>
      <c r="G1250">
        <v>6</v>
      </c>
      <c r="H1250">
        <v>280</v>
      </c>
      <c r="I1250">
        <f t="shared" si="739"/>
        <v>1680</v>
      </c>
      <c r="J1250" t="s">
        <v>167</v>
      </c>
      <c r="K1250">
        <v>268</v>
      </c>
      <c r="M1250">
        <f t="shared" si="774"/>
        <v>1608</v>
      </c>
      <c r="N1250">
        <f t="shared" si="775"/>
        <v>72</v>
      </c>
    </row>
    <row r="1251" spans="1:14" x14ac:dyDescent="0.25">
      <c r="A1251">
        <v>283</v>
      </c>
      <c r="B1251" s="1">
        <v>43907</v>
      </c>
      <c r="C1251" t="s">
        <v>276</v>
      </c>
      <c r="D1251" t="s">
        <v>70</v>
      </c>
      <c r="F1251" t="s">
        <v>304</v>
      </c>
      <c r="G1251">
        <v>1</v>
      </c>
      <c r="H1251">
        <v>1800</v>
      </c>
      <c r="I1251">
        <f t="shared" si="739"/>
        <v>1800</v>
      </c>
      <c r="J1251" t="s">
        <v>163</v>
      </c>
      <c r="K1251">
        <v>1300</v>
      </c>
      <c r="M1251">
        <f t="shared" si="774"/>
        <v>1300</v>
      </c>
      <c r="N1251">
        <f t="shared" si="775"/>
        <v>500</v>
      </c>
    </row>
    <row r="1252" spans="1:14" x14ac:dyDescent="0.25">
      <c r="A1252">
        <v>284</v>
      </c>
      <c r="B1252" s="1">
        <v>43907</v>
      </c>
      <c r="C1252" t="s">
        <v>276</v>
      </c>
      <c r="D1252" t="s">
        <v>25</v>
      </c>
      <c r="F1252" t="s">
        <v>83</v>
      </c>
      <c r="G1252">
        <v>2</v>
      </c>
      <c r="H1252">
        <v>60</v>
      </c>
      <c r="I1252">
        <f t="shared" si="739"/>
        <v>120</v>
      </c>
      <c r="J1252" t="s">
        <v>165</v>
      </c>
      <c r="K1252">
        <f t="shared" ref="K1252" si="776">380/12</f>
        <v>31.666666666666668</v>
      </c>
      <c r="M1252">
        <f t="shared" ref="M1252:M1253" si="777">+K1252*G1252</f>
        <v>63.333333333333336</v>
      </c>
      <c r="N1252">
        <f t="shared" ref="N1252:N1253" si="778">+I1252-M1252</f>
        <v>56.666666666666664</v>
      </c>
    </row>
    <row r="1253" spans="1:14" x14ac:dyDescent="0.25">
      <c r="A1253">
        <v>285</v>
      </c>
      <c r="B1253" s="1">
        <v>43907</v>
      </c>
      <c r="C1253" t="s">
        <v>276</v>
      </c>
      <c r="D1253" t="s">
        <v>56</v>
      </c>
      <c r="F1253" t="s">
        <v>267</v>
      </c>
      <c r="G1253">
        <v>9</v>
      </c>
      <c r="H1253">
        <v>170</v>
      </c>
      <c r="I1253">
        <f t="shared" si="739"/>
        <v>1530</v>
      </c>
      <c r="J1253" t="s">
        <v>163</v>
      </c>
      <c r="K1253">
        <v>121</v>
      </c>
      <c r="M1253">
        <f t="shared" si="777"/>
        <v>1089</v>
      </c>
      <c r="N1253">
        <f t="shared" si="778"/>
        <v>441</v>
      </c>
    </row>
    <row r="1254" spans="1:14" x14ac:dyDescent="0.25">
      <c r="A1254">
        <v>286</v>
      </c>
      <c r="B1254" s="1">
        <v>43907</v>
      </c>
      <c r="C1254" t="s">
        <v>276</v>
      </c>
      <c r="D1254" t="s">
        <v>15</v>
      </c>
      <c r="F1254" t="s">
        <v>292</v>
      </c>
      <c r="G1254">
        <v>8</v>
      </c>
      <c r="H1254">
        <v>230</v>
      </c>
      <c r="I1254">
        <f t="shared" si="739"/>
        <v>1840</v>
      </c>
      <c r="J1254" t="s">
        <v>163</v>
      </c>
      <c r="K1254">
        <v>177</v>
      </c>
      <c r="M1254">
        <f t="shared" ref="M1254" si="779">+K1254*G1254</f>
        <v>1416</v>
      </c>
      <c r="N1254">
        <f t="shared" ref="N1254" si="780">+I1254-M1254</f>
        <v>424</v>
      </c>
    </row>
    <row r="1255" spans="1:14" x14ac:dyDescent="0.25">
      <c r="A1255">
        <v>287</v>
      </c>
      <c r="B1255" s="1">
        <v>43907</v>
      </c>
      <c r="C1255" t="s">
        <v>276</v>
      </c>
      <c r="D1255" t="s">
        <v>25</v>
      </c>
      <c r="F1255" t="s">
        <v>83</v>
      </c>
      <c r="G1255">
        <v>2</v>
      </c>
      <c r="H1255">
        <v>60</v>
      </c>
      <c r="I1255">
        <f t="shared" si="739"/>
        <v>120</v>
      </c>
      <c r="J1255" t="s">
        <v>165</v>
      </c>
      <c r="K1255">
        <f t="shared" ref="K1255" si="781">380/12</f>
        <v>31.666666666666668</v>
      </c>
      <c r="M1255">
        <f t="shared" ref="M1255:M1257" si="782">+K1255*G1255</f>
        <v>63.333333333333336</v>
      </c>
      <c r="N1255">
        <f t="shared" ref="N1255:N1257" si="783">+I1255-M1255</f>
        <v>56.666666666666664</v>
      </c>
    </row>
    <row r="1256" spans="1:14" x14ac:dyDescent="0.25">
      <c r="A1256">
        <v>288</v>
      </c>
      <c r="B1256" s="1">
        <v>43907</v>
      </c>
      <c r="C1256" t="s">
        <v>276</v>
      </c>
      <c r="D1256" t="s">
        <v>15</v>
      </c>
      <c r="F1256" t="s">
        <v>252</v>
      </c>
      <c r="G1256">
        <v>3</v>
      </c>
      <c r="H1256">
        <v>280</v>
      </c>
      <c r="I1256">
        <f t="shared" si="739"/>
        <v>840</v>
      </c>
      <c r="J1256" t="s">
        <v>163</v>
      </c>
      <c r="K1256">
        <v>215</v>
      </c>
      <c r="M1256">
        <f t="shared" si="782"/>
        <v>645</v>
      </c>
      <c r="N1256">
        <f t="shared" si="783"/>
        <v>195</v>
      </c>
    </row>
    <row r="1257" spans="1:14" x14ac:dyDescent="0.25">
      <c r="A1257">
        <v>289</v>
      </c>
      <c r="B1257" s="1">
        <v>43907</v>
      </c>
      <c r="C1257" t="s">
        <v>276</v>
      </c>
      <c r="D1257" t="s">
        <v>44</v>
      </c>
      <c r="F1257" t="s">
        <v>226</v>
      </c>
      <c r="G1257">
        <v>1</v>
      </c>
      <c r="H1257">
        <v>35</v>
      </c>
      <c r="I1257">
        <f t="shared" si="739"/>
        <v>35</v>
      </c>
      <c r="J1257" t="s">
        <v>166</v>
      </c>
      <c r="K1257">
        <v>26</v>
      </c>
      <c r="M1257">
        <f t="shared" si="782"/>
        <v>26</v>
      </c>
      <c r="N1257">
        <f t="shared" si="783"/>
        <v>9</v>
      </c>
    </row>
    <row r="1258" spans="1:14" x14ac:dyDescent="0.25">
      <c r="A1258">
        <v>290</v>
      </c>
      <c r="B1258" s="1">
        <v>43907</v>
      </c>
      <c r="C1258" t="s">
        <v>276</v>
      </c>
      <c r="D1258" t="s">
        <v>25</v>
      </c>
      <c r="F1258" t="s">
        <v>137</v>
      </c>
      <c r="G1258">
        <v>1</v>
      </c>
      <c r="H1258">
        <v>60</v>
      </c>
      <c r="I1258">
        <f t="shared" si="739"/>
        <v>60</v>
      </c>
      <c r="J1258" t="s">
        <v>165</v>
      </c>
      <c r="K1258">
        <f t="shared" ref="K1258:K1260" si="784">380/12</f>
        <v>31.666666666666668</v>
      </c>
      <c r="M1258">
        <f t="shared" ref="M1258:M1261" si="785">+K1258*G1258</f>
        <v>31.666666666666668</v>
      </c>
      <c r="N1258">
        <f t="shared" ref="N1258:N1261" si="786">+I1258-M1258</f>
        <v>28.333333333333332</v>
      </c>
    </row>
    <row r="1259" spans="1:14" x14ac:dyDescent="0.25">
      <c r="A1259">
        <v>291</v>
      </c>
      <c r="B1259" s="1">
        <v>43908</v>
      </c>
      <c r="C1259" t="s">
        <v>276</v>
      </c>
      <c r="D1259" t="s">
        <v>25</v>
      </c>
      <c r="F1259" t="s">
        <v>130</v>
      </c>
      <c r="G1259">
        <v>1</v>
      </c>
      <c r="H1259">
        <v>60</v>
      </c>
      <c r="I1259">
        <f t="shared" si="739"/>
        <v>60</v>
      </c>
      <c r="J1259" t="s">
        <v>165</v>
      </c>
      <c r="K1259">
        <f t="shared" si="784"/>
        <v>31.666666666666668</v>
      </c>
      <c r="M1259">
        <f t="shared" si="785"/>
        <v>31.666666666666668</v>
      </c>
      <c r="N1259">
        <f t="shared" si="786"/>
        <v>28.333333333333332</v>
      </c>
    </row>
    <row r="1260" spans="1:14" x14ac:dyDescent="0.25">
      <c r="A1260">
        <v>292</v>
      </c>
      <c r="B1260" s="1">
        <v>43908</v>
      </c>
      <c r="C1260" t="s">
        <v>276</v>
      </c>
      <c r="D1260" t="s">
        <v>25</v>
      </c>
      <c r="F1260" t="s">
        <v>128</v>
      </c>
      <c r="G1260">
        <v>1</v>
      </c>
      <c r="H1260">
        <v>60</v>
      </c>
      <c r="I1260">
        <f t="shared" si="739"/>
        <v>60</v>
      </c>
      <c r="J1260" t="s">
        <v>165</v>
      </c>
      <c r="K1260">
        <f t="shared" si="784"/>
        <v>31.666666666666668</v>
      </c>
      <c r="M1260">
        <f t="shared" si="785"/>
        <v>31.666666666666668</v>
      </c>
      <c r="N1260">
        <f t="shared" si="786"/>
        <v>28.333333333333332</v>
      </c>
    </row>
    <row r="1261" spans="1:14" x14ac:dyDescent="0.25">
      <c r="A1261">
        <v>293</v>
      </c>
      <c r="B1261" s="1">
        <v>43908</v>
      </c>
      <c r="C1261" t="s">
        <v>276</v>
      </c>
      <c r="D1261" t="s">
        <v>15</v>
      </c>
      <c r="F1261" t="s">
        <v>297</v>
      </c>
      <c r="G1261">
        <f>3/9</f>
        <v>0.33333333333333331</v>
      </c>
      <c r="H1261">
        <v>240</v>
      </c>
      <c r="I1261">
        <f t="shared" si="739"/>
        <v>80</v>
      </c>
      <c r="J1261" t="s">
        <v>163</v>
      </c>
      <c r="K1261">
        <v>207</v>
      </c>
      <c r="M1261">
        <f t="shared" si="785"/>
        <v>69</v>
      </c>
      <c r="N1261">
        <f t="shared" si="786"/>
        <v>11</v>
      </c>
    </row>
    <row r="1262" spans="1:14" x14ac:dyDescent="0.25">
      <c r="A1262">
        <v>294</v>
      </c>
      <c r="B1262" s="1">
        <v>43908</v>
      </c>
      <c r="C1262" t="s">
        <v>276</v>
      </c>
      <c r="D1262" t="s">
        <v>25</v>
      </c>
      <c r="F1262" t="s">
        <v>127</v>
      </c>
      <c r="G1262">
        <v>1</v>
      </c>
      <c r="H1262">
        <v>60</v>
      </c>
      <c r="I1262">
        <f t="shared" si="739"/>
        <v>60</v>
      </c>
      <c r="J1262" t="s">
        <v>165</v>
      </c>
      <c r="K1262">
        <f t="shared" ref="K1262" si="787">380/12</f>
        <v>31.666666666666668</v>
      </c>
      <c r="M1262">
        <f t="shared" ref="M1262:M1265" si="788">+K1262*G1262</f>
        <v>31.666666666666668</v>
      </c>
      <c r="N1262">
        <f t="shared" ref="N1262:N1265" si="789">+I1262-M1262</f>
        <v>28.333333333333332</v>
      </c>
    </row>
    <row r="1263" spans="1:14" x14ac:dyDescent="0.25">
      <c r="A1263">
        <v>295</v>
      </c>
      <c r="B1263" s="1">
        <v>43908</v>
      </c>
      <c r="C1263" t="s">
        <v>276</v>
      </c>
      <c r="D1263" t="s">
        <v>15</v>
      </c>
      <c r="F1263" t="s">
        <v>29</v>
      </c>
      <c r="G1263">
        <v>14</v>
      </c>
      <c r="H1263">
        <v>230</v>
      </c>
      <c r="I1263">
        <f t="shared" si="739"/>
        <v>3220</v>
      </c>
      <c r="J1263" t="s">
        <v>163</v>
      </c>
      <c r="K1263">
        <v>197</v>
      </c>
      <c r="M1263">
        <f t="shared" si="788"/>
        <v>2758</v>
      </c>
      <c r="N1263">
        <f t="shared" si="789"/>
        <v>462</v>
      </c>
    </row>
    <row r="1264" spans="1:14" x14ac:dyDescent="0.25">
      <c r="A1264">
        <v>296</v>
      </c>
      <c r="B1264" s="1">
        <v>43908</v>
      </c>
      <c r="C1264" t="s">
        <v>276</v>
      </c>
      <c r="D1264" t="s">
        <v>15</v>
      </c>
      <c r="F1264" t="s">
        <v>292</v>
      </c>
      <c r="G1264">
        <v>4.8</v>
      </c>
      <c r="H1264">
        <v>230</v>
      </c>
      <c r="I1264">
        <f t="shared" si="739"/>
        <v>1104</v>
      </c>
      <c r="J1264" t="s">
        <v>163</v>
      </c>
      <c r="K1264">
        <v>177</v>
      </c>
      <c r="M1264">
        <f t="shared" si="788"/>
        <v>849.6</v>
      </c>
      <c r="N1264">
        <f t="shared" si="789"/>
        <v>254.39999999999998</v>
      </c>
    </row>
    <row r="1265" spans="1:14" x14ac:dyDescent="0.25">
      <c r="A1265">
        <v>297</v>
      </c>
      <c r="B1265" s="1">
        <v>43908</v>
      </c>
      <c r="C1265" t="s">
        <v>276</v>
      </c>
      <c r="D1265" t="s">
        <v>44</v>
      </c>
      <c r="F1265" t="s">
        <v>133</v>
      </c>
      <c r="G1265">
        <v>1</v>
      </c>
      <c r="H1265">
        <v>35</v>
      </c>
      <c r="I1265">
        <f t="shared" si="739"/>
        <v>35</v>
      </c>
      <c r="J1265" t="s">
        <v>166</v>
      </c>
      <c r="K1265">
        <v>26</v>
      </c>
      <c r="M1265">
        <f t="shared" si="788"/>
        <v>26</v>
      </c>
      <c r="N1265">
        <f t="shared" si="789"/>
        <v>9</v>
      </c>
    </row>
    <row r="1266" spans="1:14" x14ac:dyDescent="0.25">
      <c r="A1266">
        <v>298</v>
      </c>
      <c r="B1266" s="1">
        <v>43908</v>
      </c>
      <c r="C1266" t="s">
        <v>276</v>
      </c>
      <c r="D1266" t="s">
        <v>26</v>
      </c>
      <c r="F1266" t="s">
        <v>47</v>
      </c>
      <c r="G1266">
        <v>63</v>
      </c>
      <c r="H1266">
        <v>380</v>
      </c>
      <c r="I1266">
        <f t="shared" si="739"/>
        <v>23940</v>
      </c>
      <c r="J1266" t="s">
        <v>99</v>
      </c>
      <c r="K1266">
        <v>310</v>
      </c>
      <c r="M1266">
        <f t="shared" ref="M1266:M1268" si="790">+K1266*G1266</f>
        <v>19530</v>
      </c>
      <c r="N1266">
        <f t="shared" ref="N1266:N1268" si="791">+I1266-M1266</f>
        <v>4410</v>
      </c>
    </row>
    <row r="1267" spans="1:14" x14ac:dyDescent="0.25">
      <c r="A1267">
        <v>299</v>
      </c>
      <c r="B1267" s="1">
        <v>43908</v>
      </c>
      <c r="C1267" t="s">
        <v>276</v>
      </c>
      <c r="D1267" t="s">
        <v>56</v>
      </c>
      <c r="F1267" t="s">
        <v>267</v>
      </c>
      <c r="G1267">
        <v>5</v>
      </c>
      <c r="H1267">
        <v>170</v>
      </c>
      <c r="I1267">
        <f t="shared" si="739"/>
        <v>850</v>
      </c>
      <c r="J1267" t="s">
        <v>163</v>
      </c>
      <c r="K1267">
        <v>121</v>
      </c>
      <c r="M1267">
        <f t="shared" si="790"/>
        <v>605</v>
      </c>
      <c r="N1267">
        <f t="shared" si="791"/>
        <v>245</v>
      </c>
    </row>
    <row r="1268" spans="1:14" x14ac:dyDescent="0.25">
      <c r="A1268">
        <v>300</v>
      </c>
      <c r="B1268" s="1">
        <v>43908</v>
      </c>
      <c r="C1268" t="s">
        <v>276</v>
      </c>
      <c r="D1268" t="s">
        <v>15</v>
      </c>
      <c r="F1268" t="s">
        <v>54</v>
      </c>
      <c r="G1268">
        <v>28</v>
      </c>
      <c r="H1268">
        <v>240</v>
      </c>
      <c r="I1268">
        <f t="shared" si="739"/>
        <v>6720</v>
      </c>
      <c r="J1268" t="s">
        <v>163</v>
      </c>
      <c r="K1268">
        <v>214</v>
      </c>
      <c r="M1268">
        <f t="shared" si="790"/>
        <v>5992</v>
      </c>
      <c r="N1268">
        <f t="shared" si="791"/>
        <v>728</v>
      </c>
    </row>
    <row r="1269" spans="1:14" x14ac:dyDescent="0.25">
      <c r="A1269">
        <v>301</v>
      </c>
      <c r="B1269" s="1">
        <v>43908</v>
      </c>
      <c r="C1269" t="s">
        <v>276</v>
      </c>
      <c r="D1269" t="s">
        <v>55</v>
      </c>
      <c r="F1269" t="s">
        <v>89</v>
      </c>
      <c r="G1269">
        <v>1.5</v>
      </c>
      <c r="H1269">
        <v>300</v>
      </c>
      <c r="I1269">
        <f t="shared" si="739"/>
        <v>450</v>
      </c>
      <c r="J1269" t="s">
        <v>13</v>
      </c>
      <c r="K1269">
        <v>280</v>
      </c>
      <c r="M1269">
        <f t="shared" ref="M1269:M1270" si="792">+K1269*G1269</f>
        <v>420</v>
      </c>
      <c r="N1269">
        <f t="shared" ref="N1269:N1270" si="793">+I1269-M1269</f>
        <v>30</v>
      </c>
    </row>
    <row r="1270" spans="1:14" x14ac:dyDescent="0.25">
      <c r="A1270">
        <v>302</v>
      </c>
      <c r="B1270" s="1">
        <v>43908</v>
      </c>
      <c r="C1270" t="s">
        <v>276</v>
      </c>
      <c r="D1270" t="s">
        <v>56</v>
      </c>
      <c r="F1270" t="s">
        <v>267</v>
      </c>
      <c r="G1270">
        <v>1</v>
      </c>
      <c r="H1270">
        <v>170</v>
      </c>
      <c r="I1270">
        <f t="shared" si="739"/>
        <v>170</v>
      </c>
      <c r="J1270" t="s">
        <v>163</v>
      </c>
      <c r="K1270">
        <v>121</v>
      </c>
      <c r="M1270">
        <f t="shared" si="792"/>
        <v>121</v>
      </c>
      <c r="N1270">
        <f t="shared" si="793"/>
        <v>49</v>
      </c>
    </row>
    <row r="1271" spans="1:14" x14ac:dyDescent="0.25">
      <c r="A1271">
        <v>303</v>
      </c>
      <c r="B1271" s="1">
        <v>43908</v>
      </c>
      <c r="C1271" t="s">
        <v>276</v>
      </c>
      <c r="D1271" t="s">
        <v>55</v>
      </c>
      <c r="F1271" t="s">
        <v>89</v>
      </c>
      <c r="G1271">
        <f>8/17</f>
        <v>0.47058823529411764</v>
      </c>
      <c r="H1271">
        <v>300</v>
      </c>
      <c r="I1271">
        <f t="shared" si="739"/>
        <v>141.1764705882353</v>
      </c>
      <c r="J1271" t="s">
        <v>13</v>
      </c>
      <c r="K1271">
        <v>280</v>
      </c>
      <c r="M1271">
        <f t="shared" ref="M1271" si="794">+K1271*G1271</f>
        <v>131.76470588235293</v>
      </c>
      <c r="N1271">
        <f t="shared" ref="N1271" si="795">+I1271-M1271</f>
        <v>9.4117647058823763</v>
      </c>
    </row>
    <row r="1272" spans="1:14" x14ac:dyDescent="0.25">
      <c r="A1272">
        <v>304</v>
      </c>
      <c r="B1272" s="1">
        <v>43908</v>
      </c>
      <c r="C1272" t="s">
        <v>276</v>
      </c>
      <c r="D1272" t="s">
        <v>25</v>
      </c>
      <c r="F1272" t="s">
        <v>305</v>
      </c>
      <c r="G1272">
        <v>1</v>
      </c>
      <c r="H1272">
        <v>60</v>
      </c>
      <c r="I1272">
        <f t="shared" si="739"/>
        <v>60</v>
      </c>
      <c r="J1272" t="s">
        <v>165</v>
      </c>
      <c r="K1272">
        <f t="shared" ref="K1272" si="796">380/12</f>
        <v>31.666666666666668</v>
      </c>
      <c r="M1272">
        <f t="shared" ref="M1272" si="797">+K1272*G1272</f>
        <v>31.666666666666668</v>
      </c>
      <c r="N1272">
        <f t="shared" ref="N1272" si="798">+I1272-M1272</f>
        <v>28.333333333333332</v>
      </c>
    </row>
    <row r="1273" spans="1:14" x14ac:dyDescent="0.25">
      <c r="A1273">
        <v>305</v>
      </c>
      <c r="B1273" s="1">
        <v>43908</v>
      </c>
      <c r="C1273" t="s">
        <v>276</v>
      </c>
      <c r="D1273" t="s">
        <v>55</v>
      </c>
      <c r="F1273" t="s">
        <v>270</v>
      </c>
      <c r="G1273">
        <v>2</v>
      </c>
      <c r="H1273">
        <v>300</v>
      </c>
      <c r="I1273">
        <f t="shared" si="739"/>
        <v>600</v>
      </c>
      <c r="J1273" t="s">
        <v>167</v>
      </c>
      <c r="K1273">
        <v>268</v>
      </c>
      <c r="M1273">
        <f t="shared" ref="M1273:M1276" si="799">+K1273*G1273</f>
        <v>536</v>
      </c>
      <c r="N1273">
        <f t="shared" ref="N1273:N1276" si="800">+I1273-M1273</f>
        <v>64</v>
      </c>
    </row>
    <row r="1274" spans="1:14" x14ac:dyDescent="0.25">
      <c r="A1274">
        <v>306</v>
      </c>
      <c r="B1274" s="1">
        <v>43908</v>
      </c>
      <c r="C1274" t="s">
        <v>276</v>
      </c>
      <c r="D1274" t="s">
        <v>25</v>
      </c>
      <c r="F1274" t="s">
        <v>145</v>
      </c>
      <c r="G1274">
        <v>1</v>
      </c>
      <c r="H1274">
        <v>100</v>
      </c>
      <c r="I1274">
        <f t="shared" si="739"/>
        <v>100</v>
      </c>
      <c r="J1274" t="s">
        <v>163</v>
      </c>
      <c r="K1274">
        <v>76</v>
      </c>
      <c r="M1274">
        <f t="shared" si="799"/>
        <v>76</v>
      </c>
      <c r="N1274">
        <f t="shared" si="800"/>
        <v>24</v>
      </c>
    </row>
    <row r="1275" spans="1:14" x14ac:dyDescent="0.25">
      <c r="A1275">
        <v>307</v>
      </c>
      <c r="B1275" s="1">
        <v>43909</v>
      </c>
      <c r="C1275" t="s">
        <v>276</v>
      </c>
      <c r="D1275" t="s">
        <v>56</v>
      </c>
      <c r="F1275" t="s">
        <v>267</v>
      </c>
      <c r="G1275">
        <v>1</v>
      </c>
      <c r="H1275">
        <v>170</v>
      </c>
      <c r="I1275">
        <f t="shared" si="739"/>
        <v>170</v>
      </c>
      <c r="J1275" t="s">
        <v>163</v>
      </c>
      <c r="K1275">
        <v>121</v>
      </c>
      <c r="M1275">
        <f t="shared" si="799"/>
        <v>121</v>
      </c>
      <c r="N1275">
        <f t="shared" si="800"/>
        <v>49</v>
      </c>
    </row>
    <row r="1276" spans="1:14" x14ac:dyDescent="0.25">
      <c r="A1276">
        <v>308</v>
      </c>
      <c r="B1276" s="1">
        <v>43909</v>
      </c>
      <c r="C1276" t="s">
        <v>276</v>
      </c>
      <c r="D1276" t="s">
        <v>15</v>
      </c>
      <c r="F1276" t="s">
        <v>54</v>
      </c>
      <c r="G1276">
        <v>28</v>
      </c>
      <c r="H1276">
        <v>240</v>
      </c>
      <c r="I1276">
        <f t="shared" ref="I1276:I1339" si="801">+G1276*H1276</f>
        <v>6720</v>
      </c>
      <c r="J1276" t="s">
        <v>163</v>
      </c>
      <c r="K1276">
        <v>214</v>
      </c>
      <c r="M1276">
        <f t="shared" si="799"/>
        <v>5992</v>
      </c>
      <c r="N1276">
        <f t="shared" si="800"/>
        <v>728</v>
      </c>
    </row>
    <row r="1277" spans="1:14" x14ac:dyDescent="0.25">
      <c r="A1277">
        <v>309</v>
      </c>
      <c r="B1277" s="1">
        <v>43909</v>
      </c>
      <c r="C1277" t="s">
        <v>276</v>
      </c>
      <c r="D1277" t="s">
        <v>25</v>
      </c>
      <c r="F1277" t="s">
        <v>169</v>
      </c>
      <c r="G1277">
        <v>3</v>
      </c>
      <c r="H1277">
        <v>100</v>
      </c>
      <c r="I1277">
        <f t="shared" si="801"/>
        <v>300</v>
      </c>
      <c r="J1277" t="s">
        <v>163</v>
      </c>
      <c r="K1277">
        <v>76</v>
      </c>
      <c r="M1277">
        <f t="shared" ref="M1277:M1279" si="802">+K1277*G1277</f>
        <v>228</v>
      </c>
      <c r="N1277">
        <f t="shared" ref="N1277:N1279" si="803">+I1277-M1277</f>
        <v>72</v>
      </c>
    </row>
    <row r="1278" spans="1:14" x14ac:dyDescent="0.25">
      <c r="A1278">
        <v>310</v>
      </c>
      <c r="B1278" s="1">
        <v>43909</v>
      </c>
      <c r="C1278" t="s">
        <v>276</v>
      </c>
      <c r="D1278" t="s">
        <v>15</v>
      </c>
      <c r="F1278" t="s">
        <v>80</v>
      </c>
      <c r="G1278">
        <f>1/4.32</f>
        <v>0.23148148148148145</v>
      </c>
      <c r="H1278">
        <v>240</v>
      </c>
      <c r="I1278">
        <f t="shared" si="801"/>
        <v>55.55555555555555</v>
      </c>
      <c r="J1278" t="s">
        <v>163</v>
      </c>
      <c r="K1278">
        <v>213</v>
      </c>
      <c r="M1278">
        <f t="shared" si="802"/>
        <v>49.30555555555555</v>
      </c>
      <c r="N1278">
        <f t="shared" si="803"/>
        <v>6.25</v>
      </c>
    </row>
    <row r="1279" spans="1:14" x14ac:dyDescent="0.25">
      <c r="A1279">
        <v>311</v>
      </c>
      <c r="B1279" s="1">
        <v>43909</v>
      </c>
      <c r="C1279" t="s">
        <v>276</v>
      </c>
      <c r="D1279" t="s">
        <v>55</v>
      </c>
      <c r="F1279" t="s">
        <v>120</v>
      </c>
      <c r="G1279">
        <f>4/16</f>
        <v>0.25</v>
      </c>
      <c r="H1279">
        <v>280</v>
      </c>
      <c r="I1279">
        <f t="shared" si="801"/>
        <v>70</v>
      </c>
      <c r="J1279" t="s">
        <v>163</v>
      </c>
      <c r="K1279">
        <v>227</v>
      </c>
      <c r="M1279">
        <f t="shared" si="802"/>
        <v>56.75</v>
      </c>
      <c r="N1279">
        <f t="shared" si="803"/>
        <v>13.25</v>
      </c>
    </row>
    <row r="1280" spans="1:14" x14ac:dyDescent="0.25">
      <c r="A1280">
        <v>312</v>
      </c>
      <c r="B1280" s="1">
        <v>43909</v>
      </c>
      <c r="C1280" t="s">
        <v>276</v>
      </c>
      <c r="D1280" t="s">
        <v>15</v>
      </c>
      <c r="F1280" t="s">
        <v>82</v>
      </c>
      <c r="G1280">
        <v>16</v>
      </c>
      <c r="H1280">
        <v>430</v>
      </c>
      <c r="I1280">
        <f t="shared" si="801"/>
        <v>6880</v>
      </c>
      <c r="J1280" t="s">
        <v>13</v>
      </c>
      <c r="K1280">
        <v>335</v>
      </c>
      <c r="M1280">
        <f t="shared" ref="M1280:M1282" si="804">+K1280*G1280</f>
        <v>5360</v>
      </c>
      <c r="N1280">
        <f t="shared" ref="N1280:N1282" si="805">+I1280-M1280</f>
        <v>1520</v>
      </c>
    </row>
    <row r="1281" spans="1:14" x14ac:dyDescent="0.25">
      <c r="A1281">
        <v>313</v>
      </c>
      <c r="B1281" s="1">
        <v>43909</v>
      </c>
      <c r="C1281" t="s">
        <v>276</v>
      </c>
      <c r="D1281" t="s">
        <v>15</v>
      </c>
      <c r="F1281" t="s">
        <v>297</v>
      </c>
      <c r="G1281">
        <v>10</v>
      </c>
      <c r="H1281">
        <v>240</v>
      </c>
      <c r="I1281">
        <f t="shared" si="801"/>
        <v>2400</v>
      </c>
      <c r="J1281" t="s">
        <v>163</v>
      </c>
      <c r="K1281">
        <v>207</v>
      </c>
      <c r="M1281">
        <f t="shared" si="804"/>
        <v>2070</v>
      </c>
      <c r="N1281">
        <f t="shared" si="805"/>
        <v>330</v>
      </c>
    </row>
    <row r="1282" spans="1:14" x14ac:dyDescent="0.25">
      <c r="A1282">
        <v>314</v>
      </c>
      <c r="B1282" s="1">
        <v>43909</v>
      </c>
      <c r="C1282" t="s">
        <v>276</v>
      </c>
      <c r="D1282" t="s">
        <v>44</v>
      </c>
      <c r="F1282" t="s">
        <v>133</v>
      </c>
      <c r="G1282">
        <v>1</v>
      </c>
      <c r="H1282">
        <v>35</v>
      </c>
      <c r="I1282">
        <f t="shared" si="801"/>
        <v>35</v>
      </c>
      <c r="J1282" t="s">
        <v>166</v>
      </c>
      <c r="K1282">
        <v>26</v>
      </c>
      <c r="M1282">
        <f t="shared" si="804"/>
        <v>26</v>
      </c>
      <c r="N1282">
        <f t="shared" si="805"/>
        <v>9</v>
      </c>
    </row>
    <row r="1283" spans="1:14" x14ac:dyDescent="0.25">
      <c r="A1283">
        <v>315</v>
      </c>
      <c r="B1283" s="1">
        <v>43909</v>
      </c>
      <c r="C1283" t="s">
        <v>276</v>
      </c>
      <c r="D1283" t="s">
        <v>25</v>
      </c>
      <c r="F1283" t="s">
        <v>25</v>
      </c>
      <c r="G1283">
        <v>2</v>
      </c>
      <c r="H1283">
        <v>60</v>
      </c>
      <c r="I1283">
        <f t="shared" si="801"/>
        <v>120</v>
      </c>
      <c r="J1283" t="s">
        <v>165</v>
      </c>
      <c r="K1283">
        <f t="shared" ref="K1283" si="806">380/12</f>
        <v>31.666666666666668</v>
      </c>
      <c r="M1283">
        <f t="shared" ref="M1283:M1284" si="807">+K1283*G1283</f>
        <v>63.333333333333336</v>
      </c>
      <c r="N1283">
        <f t="shared" ref="N1283:N1284" si="808">+I1283-M1283</f>
        <v>56.666666666666664</v>
      </c>
    </row>
    <row r="1284" spans="1:14" x14ac:dyDescent="0.25">
      <c r="A1284">
        <v>316</v>
      </c>
      <c r="B1284" s="1">
        <v>43909</v>
      </c>
      <c r="C1284" t="s">
        <v>276</v>
      </c>
      <c r="D1284" t="s">
        <v>56</v>
      </c>
      <c r="F1284" t="s">
        <v>267</v>
      </c>
      <c r="G1284">
        <v>3</v>
      </c>
      <c r="H1284">
        <v>170</v>
      </c>
      <c r="I1284">
        <f t="shared" si="801"/>
        <v>510</v>
      </c>
      <c r="J1284" t="s">
        <v>163</v>
      </c>
      <c r="K1284">
        <v>121</v>
      </c>
      <c r="M1284">
        <f t="shared" si="807"/>
        <v>363</v>
      </c>
      <c r="N1284">
        <f t="shared" si="808"/>
        <v>147</v>
      </c>
    </row>
    <row r="1285" spans="1:14" x14ac:dyDescent="0.25">
      <c r="A1285">
        <v>317</v>
      </c>
      <c r="B1285" s="1">
        <v>43909</v>
      </c>
      <c r="C1285" t="s">
        <v>276</v>
      </c>
      <c r="D1285" t="s">
        <v>78</v>
      </c>
      <c r="F1285" t="s">
        <v>79</v>
      </c>
      <c r="G1285">
        <v>1</v>
      </c>
      <c r="H1285">
        <v>1550</v>
      </c>
      <c r="I1285">
        <f t="shared" si="801"/>
        <v>1550</v>
      </c>
      <c r="J1285" t="s">
        <v>167</v>
      </c>
      <c r="K1285">
        <v>1330</v>
      </c>
      <c r="M1285">
        <f t="shared" ref="M1285" si="809">+K1285*G1285</f>
        <v>1330</v>
      </c>
      <c r="N1285">
        <f t="shared" ref="N1285" si="810">+I1285-M1285</f>
        <v>220</v>
      </c>
    </row>
    <row r="1286" spans="1:14" x14ac:dyDescent="0.25">
      <c r="A1286">
        <v>318</v>
      </c>
      <c r="B1286" s="1">
        <v>43909</v>
      </c>
      <c r="C1286" t="s">
        <v>276</v>
      </c>
      <c r="D1286" t="s">
        <v>78</v>
      </c>
      <c r="F1286" t="s">
        <v>42</v>
      </c>
      <c r="G1286">
        <v>1</v>
      </c>
      <c r="H1286">
        <v>720</v>
      </c>
      <c r="I1286">
        <f t="shared" si="801"/>
        <v>720</v>
      </c>
      <c r="J1286" t="s">
        <v>166</v>
      </c>
    </row>
    <row r="1287" spans="1:14" x14ac:dyDescent="0.25">
      <c r="A1287">
        <v>319</v>
      </c>
      <c r="B1287" s="1">
        <v>43909</v>
      </c>
      <c r="C1287" t="s">
        <v>276</v>
      </c>
      <c r="D1287" t="s">
        <v>78</v>
      </c>
      <c r="F1287" t="s">
        <v>124</v>
      </c>
      <c r="G1287">
        <v>1</v>
      </c>
      <c r="H1287">
        <v>90</v>
      </c>
      <c r="I1287">
        <f t="shared" si="801"/>
        <v>90</v>
      </c>
      <c r="J1287" t="s">
        <v>166</v>
      </c>
    </row>
    <row r="1288" spans="1:14" x14ac:dyDescent="0.25">
      <c r="A1288">
        <v>320</v>
      </c>
      <c r="B1288" s="1">
        <v>43909</v>
      </c>
      <c r="C1288" t="s">
        <v>276</v>
      </c>
      <c r="D1288" t="s">
        <v>92</v>
      </c>
      <c r="F1288" t="s">
        <v>251</v>
      </c>
      <c r="G1288">
        <v>1</v>
      </c>
      <c r="H1288">
        <v>270</v>
      </c>
      <c r="I1288">
        <f t="shared" si="801"/>
        <v>270</v>
      </c>
      <c r="J1288" t="s">
        <v>198</v>
      </c>
      <c r="K1288">
        <v>200</v>
      </c>
      <c r="M1288">
        <f t="shared" ref="M1288" si="811">+K1288*G1288</f>
        <v>200</v>
      </c>
      <c r="N1288">
        <f t="shared" ref="N1288" si="812">+I1288-M1288</f>
        <v>70</v>
      </c>
    </row>
    <row r="1289" spans="1:14" x14ac:dyDescent="0.25">
      <c r="A1289">
        <v>321</v>
      </c>
      <c r="B1289" s="1">
        <v>43910</v>
      </c>
      <c r="C1289" t="s">
        <v>276</v>
      </c>
      <c r="D1289" t="s">
        <v>55</v>
      </c>
      <c r="F1289" t="s">
        <v>149</v>
      </c>
      <c r="G1289">
        <v>7</v>
      </c>
      <c r="H1289">
        <v>300</v>
      </c>
      <c r="I1289">
        <f t="shared" si="801"/>
        <v>2100</v>
      </c>
      <c r="J1289" t="s">
        <v>167</v>
      </c>
      <c r="K1289">
        <v>268</v>
      </c>
      <c r="M1289">
        <f t="shared" ref="M1289:M1292" si="813">+K1289*G1289</f>
        <v>1876</v>
      </c>
      <c r="N1289">
        <f t="shared" ref="N1289:N1292" si="814">+I1289-M1289</f>
        <v>224</v>
      </c>
    </row>
    <row r="1290" spans="1:14" x14ac:dyDescent="0.25">
      <c r="A1290">
        <v>322</v>
      </c>
      <c r="B1290" s="1">
        <v>43910</v>
      </c>
      <c r="C1290" t="s">
        <v>276</v>
      </c>
      <c r="D1290" t="s">
        <v>55</v>
      </c>
      <c r="F1290" t="s">
        <v>97</v>
      </c>
      <c r="G1290">
        <v>7</v>
      </c>
      <c r="H1290">
        <v>280</v>
      </c>
      <c r="I1290">
        <f t="shared" si="801"/>
        <v>1960</v>
      </c>
      <c r="J1290" t="s">
        <v>167</v>
      </c>
      <c r="K1290">
        <v>268</v>
      </c>
      <c r="M1290">
        <f t="shared" si="813"/>
        <v>1876</v>
      </c>
      <c r="N1290">
        <f t="shared" si="814"/>
        <v>84</v>
      </c>
    </row>
    <row r="1291" spans="1:14" x14ac:dyDescent="0.25">
      <c r="A1291">
        <v>323</v>
      </c>
      <c r="B1291" s="1">
        <v>43910</v>
      </c>
      <c r="C1291" t="s">
        <v>276</v>
      </c>
      <c r="D1291" t="s">
        <v>15</v>
      </c>
      <c r="F1291" t="s">
        <v>31</v>
      </c>
      <c r="G1291">
        <v>1.5</v>
      </c>
      <c r="H1291">
        <v>280</v>
      </c>
      <c r="I1291">
        <f t="shared" si="801"/>
        <v>420</v>
      </c>
      <c r="J1291" t="s">
        <v>163</v>
      </c>
      <c r="K1291">
        <v>215</v>
      </c>
      <c r="M1291">
        <f t="shared" si="813"/>
        <v>322.5</v>
      </c>
      <c r="N1291">
        <f t="shared" si="814"/>
        <v>97.5</v>
      </c>
    </row>
    <row r="1292" spans="1:14" x14ac:dyDescent="0.25">
      <c r="A1292">
        <v>324</v>
      </c>
      <c r="B1292" s="1">
        <v>43910</v>
      </c>
      <c r="C1292" t="s">
        <v>276</v>
      </c>
      <c r="D1292" t="s">
        <v>15</v>
      </c>
      <c r="F1292" t="s">
        <v>219</v>
      </c>
      <c r="G1292">
        <v>1.5</v>
      </c>
      <c r="H1292">
        <v>230</v>
      </c>
      <c r="I1292">
        <f t="shared" si="801"/>
        <v>345</v>
      </c>
      <c r="J1292" t="s">
        <v>163</v>
      </c>
      <c r="K1292">
        <v>196</v>
      </c>
      <c r="M1292">
        <f t="shared" si="813"/>
        <v>294</v>
      </c>
      <c r="N1292">
        <f t="shared" si="814"/>
        <v>51</v>
      </c>
    </row>
    <row r="1293" spans="1:14" x14ac:dyDescent="0.25">
      <c r="A1293">
        <v>325</v>
      </c>
      <c r="B1293" s="1">
        <v>43910</v>
      </c>
      <c r="C1293" t="s">
        <v>276</v>
      </c>
      <c r="D1293" t="s">
        <v>24</v>
      </c>
      <c r="F1293" t="s">
        <v>24</v>
      </c>
      <c r="G1293">
        <v>2</v>
      </c>
      <c r="H1293">
        <v>100</v>
      </c>
      <c r="I1293">
        <f t="shared" si="801"/>
        <v>200</v>
      </c>
      <c r="J1293" t="s">
        <v>186</v>
      </c>
      <c r="K1293">
        <v>68.22</v>
      </c>
      <c r="M1293">
        <f t="shared" ref="M1293:M1295" si="815">+K1293*G1293</f>
        <v>136.44</v>
      </c>
      <c r="N1293">
        <f t="shared" ref="N1293:N1295" si="816">+I1293-M1293</f>
        <v>63.56</v>
      </c>
    </row>
    <row r="1294" spans="1:14" x14ac:dyDescent="0.25">
      <c r="A1294">
        <v>326</v>
      </c>
      <c r="B1294" s="1">
        <v>43910</v>
      </c>
      <c r="C1294" t="s">
        <v>276</v>
      </c>
      <c r="D1294" t="s">
        <v>25</v>
      </c>
      <c r="F1294" t="s">
        <v>83</v>
      </c>
      <c r="G1294">
        <v>3</v>
      </c>
      <c r="H1294">
        <v>60</v>
      </c>
      <c r="I1294">
        <f t="shared" si="801"/>
        <v>180</v>
      </c>
      <c r="J1294" t="s">
        <v>165</v>
      </c>
      <c r="K1294">
        <f t="shared" ref="K1294" si="817">380/12</f>
        <v>31.666666666666668</v>
      </c>
      <c r="M1294">
        <f t="shared" si="815"/>
        <v>95</v>
      </c>
      <c r="N1294">
        <f t="shared" si="816"/>
        <v>85</v>
      </c>
    </row>
    <row r="1295" spans="1:14" x14ac:dyDescent="0.25">
      <c r="A1295">
        <v>327</v>
      </c>
      <c r="B1295" s="1">
        <v>43910</v>
      </c>
      <c r="C1295" t="s">
        <v>276</v>
      </c>
      <c r="D1295" t="s">
        <v>44</v>
      </c>
      <c r="F1295" t="s">
        <v>77</v>
      </c>
      <c r="G1295">
        <v>2</v>
      </c>
      <c r="H1295">
        <v>35</v>
      </c>
      <c r="I1295">
        <f t="shared" si="801"/>
        <v>70</v>
      </c>
      <c r="J1295" t="s">
        <v>166</v>
      </c>
      <c r="K1295">
        <v>26</v>
      </c>
      <c r="M1295">
        <f t="shared" si="815"/>
        <v>52</v>
      </c>
      <c r="N1295">
        <f t="shared" si="816"/>
        <v>18</v>
      </c>
    </row>
    <row r="1296" spans="1:14" x14ac:dyDescent="0.25">
      <c r="A1296">
        <v>328</v>
      </c>
      <c r="B1296" s="1">
        <v>43910</v>
      </c>
      <c r="C1296" t="s">
        <v>276</v>
      </c>
      <c r="D1296" t="s">
        <v>26</v>
      </c>
      <c r="F1296" t="s">
        <v>47</v>
      </c>
      <c r="G1296">
        <v>2.88</v>
      </c>
      <c r="H1296">
        <v>380</v>
      </c>
      <c r="I1296">
        <f t="shared" si="801"/>
        <v>1094.3999999999999</v>
      </c>
      <c r="J1296" t="s">
        <v>99</v>
      </c>
      <c r="K1296">
        <v>310</v>
      </c>
      <c r="M1296">
        <f t="shared" ref="M1296:M1299" si="818">+K1296*G1296</f>
        <v>892.8</v>
      </c>
      <c r="N1296">
        <f t="shared" ref="N1296:N1299" si="819">+I1296-M1296</f>
        <v>201.59999999999991</v>
      </c>
    </row>
    <row r="1297" spans="1:14" x14ac:dyDescent="0.25">
      <c r="A1297">
        <v>329</v>
      </c>
      <c r="B1297" s="1">
        <v>43910</v>
      </c>
      <c r="C1297" t="s">
        <v>276</v>
      </c>
      <c r="D1297" t="s">
        <v>23</v>
      </c>
      <c r="F1297" t="s">
        <v>43</v>
      </c>
      <c r="G1297">
        <v>1</v>
      </c>
      <c r="H1297">
        <v>300</v>
      </c>
      <c r="I1297">
        <f t="shared" si="801"/>
        <v>300</v>
      </c>
      <c r="J1297" t="s">
        <v>187</v>
      </c>
      <c r="K1297">
        <v>42</v>
      </c>
      <c r="M1297">
        <f t="shared" si="818"/>
        <v>42</v>
      </c>
      <c r="N1297">
        <f t="shared" si="819"/>
        <v>258</v>
      </c>
    </row>
    <row r="1298" spans="1:14" x14ac:dyDescent="0.25">
      <c r="A1298">
        <v>330</v>
      </c>
      <c r="B1298" s="1">
        <v>43910</v>
      </c>
      <c r="C1298" t="s">
        <v>276</v>
      </c>
      <c r="D1298" t="s">
        <v>15</v>
      </c>
      <c r="F1298" t="s">
        <v>110</v>
      </c>
      <c r="G1298">
        <f>2/9</f>
        <v>0.22222222222222221</v>
      </c>
      <c r="H1298">
        <v>300</v>
      </c>
      <c r="I1298">
        <f t="shared" si="801"/>
        <v>66.666666666666657</v>
      </c>
      <c r="J1298" t="s">
        <v>13</v>
      </c>
      <c r="K1298">
        <v>280</v>
      </c>
      <c r="M1298">
        <f t="shared" si="818"/>
        <v>62.222222222222221</v>
      </c>
      <c r="N1298">
        <f t="shared" si="819"/>
        <v>4.4444444444444358</v>
      </c>
    </row>
    <row r="1299" spans="1:14" x14ac:dyDescent="0.25">
      <c r="A1299">
        <v>331</v>
      </c>
      <c r="B1299" s="1">
        <v>43910</v>
      </c>
      <c r="C1299" t="s">
        <v>276</v>
      </c>
      <c r="D1299" t="s">
        <v>15</v>
      </c>
      <c r="F1299" t="s">
        <v>292</v>
      </c>
      <c r="G1299">
        <v>11</v>
      </c>
      <c r="H1299">
        <v>230</v>
      </c>
      <c r="I1299">
        <f t="shared" si="801"/>
        <v>2530</v>
      </c>
      <c r="J1299" t="s">
        <v>163</v>
      </c>
      <c r="K1299">
        <v>177</v>
      </c>
      <c r="M1299">
        <f t="shared" si="818"/>
        <v>1947</v>
      </c>
      <c r="N1299">
        <f t="shared" si="819"/>
        <v>583</v>
      </c>
    </row>
    <row r="1300" spans="1:14" x14ac:dyDescent="0.25">
      <c r="A1300">
        <v>332</v>
      </c>
      <c r="B1300" s="1">
        <v>43910</v>
      </c>
      <c r="C1300" t="s">
        <v>276</v>
      </c>
      <c r="D1300" t="s">
        <v>55</v>
      </c>
      <c r="F1300" t="s">
        <v>149</v>
      </c>
      <c r="G1300">
        <v>18.5</v>
      </c>
      <c r="H1300">
        <v>300</v>
      </c>
      <c r="I1300">
        <f t="shared" si="801"/>
        <v>5550</v>
      </c>
      <c r="J1300" t="s">
        <v>13</v>
      </c>
      <c r="K1300">
        <v>280</v>
      </c>
      <c r="M1300">
        <f t="shared" ref="M1300:M1304" si="820">+K1300*G1300</f>
        <v>5180</v>
      </c>
      <c r="N1300">
        <f t="shared" ref="N1300:N1304" si="821">+I1300-M1300</f>
        <v>370</v>
      </c>
    </row>
    <row r="1301" spans="1:14" x14ac:dyDescent="0.25">
      <c r="A1301">
        <v>333</v>
      </c>
      <c r="B1301" s="1">
        <v>43910</v>
      </c>
      <c r="C1301" t="s">
        <v>276</v>
      </c>
      <c r="D1301" t="s">
        <v>15</v>
      </c>
      <c r="F1301" t="s">
        <v>17</v>
      </c>
      <c r="G1301">
        <v>3</v>
      </c>
      <c r="H1301">
        <v>360</v>
      </c>
      <c r="I1301">
        <f t="shared" si="801"/>
        <v>1080</v>
      </c>
      <c r="J1301" t="s">
        <v>13</v>
      </c>
      <c r="K1301">
        <v>330</v>
      </c>
      <c r="M1301">
        <f t="shared" si="820"/>
        <v>990</v>
      </c>
      <c r="N1301">
        <f t="shared" si="821"/>
        <v>90</v>
      </c>
    </row>
    <row r="1302" spans="1:14" x14ac:dyDescent="0.25">
      <c r="A1302">
        <v>334</v>
      </c>
      <c r="B1302" s="1">
        <v>43910</v>
      </c>
      <c r="C1302" t="s">
        <v>276</v>
      </c>
      <c r="D1302" t="s">
        <v>15</v>
      </c>
      <c r="F1302" t="s">
        <v>45</v>
      </c>
      <c r="G1302">
        <v>6.5</v>
      </c>
      <c r="H1302">
        <v>300</v>
      </c>
      <c r="I1302">
        <f t="shared" si="801"/>
        <v>1950</v>
      </c>
      <c r="J1302" t="s">
        <v>13</v>
      </c>
      <c r="K1302">
        <v>280</v>
      </c>
      <c r="M1302">
        <f t="shared" si="820"/>
        <v>1820</v>
      </c>
      <c r="N1302">
        <f t="shared" si="821"/>
        <v>130</v>
      </c>
    </row>
    <row r="1303" spans="1:14" x14ac:dyDescent="0.25">
      <c r="A1303">
        <v>335</v>
      </c>
      <c r="B1303" s="1">
        <v>43910</v>
      </c>
      <c r="C1303" t="s">
        <v>276</v>
      </c>
      <c r="D1303" t="s">
        <v>15</v>
      </c>
      <c r="F1303" t="s">
        <v>29</v>
      </c>
      <c r="G1303">
        <v>28</v>
      </c>
      <c r="H1303">
        <v>230</v>
      </c>
      <c r="I1303">
        <f t="shared" si="801"/>
        <v>6440</v>
      </c>
      <c r="J1303" t="s">
        <v>163</v>
      </c>
      <c r="K1303">
        <v>197</v>
      </c>
      <c r="M1303">
        <f t="shared" si="820"/>
        <v>5516</v>
      </c>
      <c r="N1303">
        <f t="shared" si="821"/>
        <v>924</v>
      </c>
    </row>
    <row r="1304" spans="1:14" x14ac:dyDescent="0.25">
      <c r="A1304">
        <v>336</v>
      </c>
      <c r="B1304" s="1">
        <v>43910</v>
      </c>
      <c r="C1304" t="s">
        <v>276</v>
      </c>
      <c r="D1304" t="s">
        <v>44</v>
      </c>
      <c r="F1304" t="s">
        <v>133</v>
      </c>
      <c r="G1304">
        <v>1</v>
      </c>
      <c r="H1304">
        <v>35</v>
      </c>
      <c r="I1304">
        <f t="shared" si="801"/>
        <v>35</v>
      </c>
      <c r="J1304" t="s">
        <v>166</v>
      </c>
      <c r="K1304">
        <v>26</v>
      </c>
      <c r="M1304">
        <f t="shared" si="820"/>
        <v>26</v>
      </c>
      <c r="N1304">
        <f t="shared" si="821"/>
        <v>9</v>
      </c>
    </row>
    <row r="1305" spans="1:14" x14ac:dyDescent="0.25">
      <c r="A1305">
        <v>337</v>
      </c>
      <c r="B1305" s="1">
        <v>43910</v>
      </c>
      <c r="C1305" t="s">
        <v>276</v>
      </c>
      <c r="D1305" t="s">
        <v>15</v>
      </c>
      <c r="F1305" t="s">
        <v>252</v>
      </c>
      <c r="G1305">
        <v>1.53</v>
      </c>
      <c r="H1305">
        <v>280</v>
      </c>
      <c r="I1305">
        <f t="shared" si="801"/>
        <v>428.40000000000003</v>
      </c>
      <c r="J1305" t="s">
        <v>163</v>
      </c>
      <c r="K1305">
        <v>215</v>
      </c>
      <c r="M1305">
        <f t="shared" ref="M1305:M1306" si="822">+K1305*G1305</f>
        <v>328.95</v>
      </c>
      <c r="N1305">
        <f t="shared" ref="N1305:N1306" si="823">+I1305-M1305</f>
        <v>99.450000000000045</v>
      </c>
    </row>
    <row r="1306" spans="1:14" x14ac:dyDescent="0.25">
      <c r="A1306">
        <v>338</v>
      </c>
      <c r="B1306" s="1">
        <v>43910</v>
      </c>
      <c r="C1306" t="s">
        <v>276</v>
      </c>
      <c r="D1306" t="s">
        <v>15</v>
      </c>
      <c r="F1306" t="s">
        <v>80</v>
      </c>
      <c r="G1306">
        <v>1.5</v>
      </c>
      <c r="H1306">
        <v>240</v>
      </c>
      <c r="I1306">
        <f t="shared" si="801"/>
        <v>360</v>
      </c>
      <c r="J1306" t="s">
        <v>163</v>
      </c>
      <c r="K1306">
        <v>213</v>
      </c>
      <c r="M1306">
        <f t="shared" si="822"/>
        <v>319.5</v>
      </c>
      <c r="N1306">
        <f t="shared" si="823"/>
        <v>40.5</v>
      </c>
    </row>
    <row r="1307" spans="1:14" x14ac:dyDescent="0.25">
      <c r="A1307">
        <v>339</v>
      </c>
      <c r="B1307" s="1">
        <v>43910</v>
      </c>
      <c r="C1307" t="s">
        <v>276</v>
      </c>
      <c r="D1307" t="s">
        <v>55</v>
      </c>
      <c r="F1307" t="s">
        <v>22</v>
      </c>
      <c r="G1307">
        <f>5/17</f>
        <v>0.29411764705882354</v>
      </c>
      <c r="H1307">
        <v>300</v>
      </c>
      <c r="I1307">
        <f t="shared" si="801"/>
        <v>88.235294117647058</v>
      </c>
      <c r="J1307" t="s">
        <v>167</v>
      </c>
      <c r="K1307">
        <v>268</v>
      </c>
      <c r="M1307">
        <f t="shared" ref="M1307:M1308" si="824">+K1307*G1307</f>
        <v>78.82352941176471</v>
      </c>
      <c r="N1307">
        <f t="shared" ref="N1307:N1308" si="825">+I1307-M1307</f>
        <v>9.4117647058823479</v>
      </c>
    </row>
    <row r="1308" spans="1:14" x14ac:dyDescent="0.25">
      <c r="A1308">
        <v>340</v>
      </c>
      <c r="B1308" s="1">
        <v>43911</v>
      </c>
      <c r="C1308" t="s">
        <v>276</v>
      </c>
      <c r="D1308" t="s">
        <v>15</v>
      </c>
      <c r="F1308" t="s">
        <v>20</v>
      </c>
      <c r="G1308">
        <v>1.54</v>
      </c>
      <c r="H1308">
        <v>255</v>
      </c>
      <c r="I1308">
        <f t="shared" si="801"/>
        <v>392.7</v>
      </c>
      <c r="J1308" t="s">
        <v>163</v>
      </c>
      <c r="K1308">
        <v>216</v>
      </c>
      <c r="M1308">
        <f t="shared" si="824"/>
        <v>332.64</v>
      </c>
      <c r="N1308">
        <f t="shared" si="825"/>
        <v>60.06</v>
      </c>
    </row>
    <row r="1309" spans="1:14" x14ac:dyDescent="0.25">
      <c r="A1309">
        <v>341</v>
      </c>
      <c r="B1309" s="1">
        <v>43911</v>
      </c>
      <c r="C1309" t="s">
        <v>276</v>
      </c>
      <c r="D1309" t="s">
        <v>70</v>
      </c>
      <c r="F1309" t="s">
        <v>306</v>
      </c>
      <c r="G1309">
        <v>1</v>
      </c>
      <c r="H1309">
        <v>160</v>
      </c>
      <c r="I1309">
        <f t="shared" si="801"/>
        <v>160</v>
      </c>
      <c r="J1309" t="s">
        <v>237</v>
      </c>
      <c r="K1309">
        <v>115</v>
      </c>
    </row>
    <row r="1310" spans="1:14" x14ac:dyDescent="0.25">
      <c r="A1310">
        <v>342</v>
      </c>
      <c r="B1310" s="1">
        <v>43911</v>
      </c>
      <c r="C1310" t="s">
        <v>276</v>
      </c>
      <c r="D1310" t="s">
        <v>15</v>
      </c>
      <c r="F1310" t="s">
        <v>252</v>
      </c>
      <c r="G1310">
        <f>4/9</f>
        <v>0.44444444444444442</v>
      </c>
      <c r="H1310">
        <v>280</v>
      </c>
      <c r="I1310">
        <f t="shared" si="801"/>
        <v>124.44444444444444</v>
      </c>
      <c r="J1310" t="s">
        <v>163</v>
      </c>
      <c r="K1310">
        <v>215</v>
      </c>
      <c r="M1310">
        <f t="shared" ref="M1310" si="826">+K1310*G1310</f>
        <v>95.555555555555557</v>
      </c>
      <c r="N1310">
        <f t="shared" ref="N1310" si="827">+I1310-M1310</f>
        <v>28.888888888888886</v>
      </c>
    </row>
    <row r="1311" spans="1:14" x14ac:dyDescent="0.25">
      <c r="A1311">
        <v>343</v>
      </c>
      <c r="B1311" s="1">
        <v>43911</v>
      </c>
      <c r="C1311" t="s">
        <v>276</v>
      </c>
      <c r="D1311" t="s">
        <v>15</v>
      </c>
      <c r="F1311" t="s">
        <v>292</v>
      </c>
      <c r="G1311">
        <v>1.5</v>
      </c>
      <c r="H1311">
        <v>230</v>
      </c>
      <c r="I1311">
        <f t="shared" si="801"/>
        <v>345</v>
      </c>
      <c r="J1311" t="s">
        <v>163</v>
      </c>
      <c r="K1311">
        <v>177</v>
      </c>
      <c r="M1311">
        <f t="shared" ref="M1311:M1312" si="828">+K1311*G1311</f>
        <v>265.5</v>
      </c>
      <c r="N1311">
        <f t="shared" ref="N1311:N1312" si="829">+I1311-M1311</f>
        <v>79.5</v>
      </c>
    </row>
    <row r="1312" spans="1:14" x14ac:dyDescent="0.25">
      <c r="A1312">
        <v>344</v>
      </c>
      <c r="B1312" s="1">
        <v>43911</v>
      </c>
      <c r="C1312" t="s">
        <v>276</v>
      </c>
      <c r="D1312" t="s">
        <v>15</v>
      </c>
      <c r="F1312" t="s">
        <v>20</v>
      </c>
      <c r="G1312">
        <f>2/5.1</f>
        <v>0.39215686274509809</v>
      </c>
      <c r="H1312">
        <v>255</v>
      </c>
      <c r="I1312">
        <f t="shared" si="801"/>
        <v>100.00000000000001</v>
      </c>
      <c r="J1312" t="s">
        <v>163</v>
      </c>
      <c r="K1312">
        <v>216</v>
      </c>
      <c r="M1312">
        <f t="shared" si="828"/>
        <v>84.705882352941188</v>
      </c>
      <c r="N1312">
        <f t="shared" si="829"/>
        <v>15.294117647058826</v>
      </c>
    </row>
    <row r="1313" spans="1:14" x14ac:dyDescent="0.25">
      <c r="A1313">
        <v>345</v>
      </c>
      <c r="B1313" s="1">
        <v>43913</v>
      </c>
      <c r="C1313" t="s">
        <v>276</v>
      </c>
      <c r="D1313" t="s">
        <v>15</v>
      </c>
      <c r="F1313" t="s">
        <v>45</v>
      </c>
      <c r="G1313">
        <f>5/9</f>
        <v>0.55555555555555558</v>
      </c>
      <c r="H1313">
        <v>300</v>
      </c>
      <c r="I1313">
        <f t="shared" si="801"/>
        <v>166.66666666666669</v>
      </c>
      <c r="J1313" t="s">
        <v>13</v>
      </c>
      <c r="K1313">
        <v>280</v>
      </c>
      <c r="M1313">
        <f t="shared" ref="M1313" si="830">+K1313*G1313</f>
        <v>155.55555555555557</v>
      </c>
      <c r="N1313">
        <f t="shared" ref="N1313" si="831">+I1313-M1313</f>
        <v>11.111111111111114</v>
      </c>
    </row>
    <row r="1314" spans="1:14" x14ac:dyDescent="0.25">
      <c r="A1314">
        <v>346</v>
      </c>
      <c r="B1314" s="1">
        <v>43913</v>
      </c>
      <c r="C1314" t="s">
        <v>276</v>
      </c>
      <c r="D1314" t="s">
        <v>25</v>
      </c>
      <c r="F1314" t="s">
        <v>60</v>
      </c>
      <c r="G1314">
        <v>2</v>
      </c>
      <c r="H1314">
        <v>60</v>
      </c>
      <c r="I1314">
        <f t="shared" si="801"/>
        <v>120</v>
      </c>
      <c r="J1314" t="s">
        <v>165</v>
      </c>
      <c r="K1314">
        <f t="shared" ref="K1314" si="832">380/12</f>
        <v>31.666666666666668</v>
      </c>
      <c r="M1314">
        <f t="shared" ref="M1314:M1315" si="833">+K1314*G1314</f>
        <v>63.333333333333336</v>
      </c>
      <c r="N1314">
        <f t="shared" ref="N1314:N1315" si="834">+I1314-M1314</f>
        <v>56.666666666666664</v>
      </c>
    </row>
    <row r="1315" spans="1:14" x14ac:dyDescent="0.25">
      <c r="A1315">
        <v>347</v>
      </c>
      <c r="B1315" s="1">
        <v>43913</v>
      </c>
      <c r="C1315" t="s">
        <v>276</v>
      </c>
      <c r="D1315" t="s">
        <v>15</v>
      </c>
      <c r="F1315" t="s">
        <v>292</v>
      </c>
      <c r="G1315">
        <f>4/8</f>
        <v>0.5</v>
      </c>
      <c r="H1315">
        <v>230</v>
      </c>
      <c r="I1315">
        <f t="shared" si="801"/>
        <v>115</v>
      </c>
      <c r="J1315" t="s">
        <v>163</v>
      </c>
      <c r="K1315">
        <v>177</v>
      </c>
      <c r="M1315">
        <f t="shared" si="833"/>
        <v>88.5</v>
      </c>
      <c r="N1315">
        <f t="shared" si="834"/>
        <v>26.5</v>
      </c>
    </row>
    <row r="1316" spans="1:14" x14ac:dyDescent="0.25">
      <c r="A1316">
        <v>348</v>
      </c>
      <c r="B1316" s="1">
        <v>43913</v>
      </c>
      <c r="C1316" t="s">
        <v>276</v>
      </c>
      <c r="D1316" t="s">
        <v>15</v>
      </c>
      <c r="F1316" t="s">
        <v>19</v>
      </c>
      <c r="G1316">
        <v>20</v>
      </c>
      <c r="H1316">
        <v>300</v>
      </c>
      <c r="I1316">
        <f t="shared" si="801"/>
        <v>6000</v>
      </c>
      <c r="J1316" t="s">
        <v>13</v>
      </c>
      <c r="K1316">
        <v>280</v>
      </c>
      <c r="M1316">
        <f t="shared" ref="M1316:M1319" si="835">+K1316*G1316</f>
        <v>5600</v>
      </c>
      <c r="N1316">
        <f t="shared" ref="N1316:N1319" si="836">+I1316-M1316</f>
        <v>400</v>
      </c>
    </row>
    <row r="1317" spans="1:14" x14ac:dyDescent="0.25">
      <c r="A1317">
        <v>349</v>
      </c>
      <c r="B1317" s="1">
        <v>43913</v>
      </c>
      <c r="C1317" t="s">
        <v>276</v>
      </c>
      <c r="D1317" t="s">
        <v>15</v>
      </c>
      <c r="F1317" t="s">
        <v>54</v>
      </c>
      <c r="G1317">
        <v>26</v>
      </c>
      <c r="H1317">
        <v>240</v>
      </c>
      <c r="I1317">
        <f t="shared" si="801"/>
        <v>6240</v>
      </c>
      <c r="J1317" t="s">
        <v>163</v>
      </c>
      <c r="K1317">
        <v>214</v>
      </c>
      <c r="M1317">
        <f t="shared" si="835"/>
        <v>5564</v>
      </c>
      <c r="N1317">
        <f t="shared" si="836"/>
        <v>676</v>
      </c>
    </row>
    <row r="1318" spans="1:14" x14ac:dyDescent="0.25">
      <c r="A1318">
        <v>350</v>
      </c>
      <c r="B1318" s="1">
        <v>43913</v>
      </c>
      <c r="C1318" t="s">
        <v>276</v>
      </c>
      <c r="D1318" t="s">
        <v>56</v>
      </c>
      <c r="F1318" t="s">
        <v>267</v>
      </c>
      <c r="G1318">
        <v>7</v>
      </c>
      <c r="H1318">
        <v>170</v>
      </c>
      <c r="I1318">
        <f t="shared" si="801"/>
        <v>1190</v>
      </c>
      <c r="J1318" t="s">
        <v>163</v>
      </c>
      <c r="K1318">
        <v>121</v>
      </c>
      <c r="M1318">
        <f t="shared" si="835"/>
        <v>847</v>
      </c>
      <c r="N1318">
        <f t="shared" si="836"/>
        <v>343</v>
      </c>
    </row>
    <row r="1319" spans="1:14" x14ac:dyDescent="0.25">
      <c r="A1319">
        <v>351</v>
      </c>
      <c r="B1319" s="1">
        <v>43913</v>
      </c>
      <c r="C1319" t="s">
        <v>276</v>
      </c>
      <c r="D1319" t="s">
        <v>44</v>
      </c>
      <c r="F1319" t="s">
        <v>133</v>
      </c>
      <c r="G1319">
        <v>2</v>
      </c>
      <c r="H1319">
        <v>35</v>
      </c>
      <c r="I1319">
        <f t="shared" si="801"/>
        <v>70</v>
      </c>
      <c r="J1319" t="s">
        <v>166</v>
      </c>
      <c r="K1319">
        <v>26</v>
      </c>
      <c r="M1319">
        <f t="shared" si="835"/>
        <v>52</v>
      </c>
      <c r="N1319">
        <f t="shared" si="836"/>
        <v>18</v>
      </c>
    </row>
    <row r="1320" spans="1:14" x14ac:dyDescent="0.25">
      <c r="A1320">
        <v>352</v>
      </c>
      <c r="B1320" s="1">
        <v>43913</v>
      </c>
      <c r="C1320" t="s">
        <v>276</v>
      </c>
      <c r="D1320" t="s">
        <v>23</v>
      </c>
      <c r="F1320" t="s">
        <v>215</v>
      </c>
      <c r="G1320">
        <v>1</v>
      </c>
      <c r="H1320">
        <v>35</v>
      </c>
      <c r="I1320">
        <f t="shared" si="801"/>
        <v>35</v>
      </c>
      <c r="J1320" t="s">
        <v>187</v>
      </c>
      <c r="K1320">
        <v>26</v>
      </c>
      <c r="M1320">
        <f t="shared" ref="M1320:M1322" si="837">+K1320*G1320</f>
        <v>26</v>
      </c>
      <c r="N1320">
        <f t="shared" ref="N1320:N1322" si="838">+I1320-M1320</f>
        <v>9</v>
      </c>
    </row>
    <row r="1321" spans="1:14" x14ac:dyDescent="0.25">
      <c r="A1321">
        <v>353</v>
      </c>
      <c r="B1321" s="1">
        <v>43914</v>
      </c>
      <c r="C1321" t="s">
        <v>276</v>
      </c>
      <c r="D1321" t="s">
        <v>15</v>
      </c>
      <c r="F1321" t="s">
        <v>131</v>
      </c>
      <c r="G1321">
        <v>7</v>
      </c>
      <c r="H1321">
        <v>300</v>
      </c>
      <c r="I1321">
        <f t="shared" si="801"/>
        <v>2100</v>
      </c>
      <c r="J1321" t="s">
        <v>13</v>
      </c>
      <c r="K1321">
        <v>280</v>
      </c>
      <c r="M1321">
        <f t="shared" si="837"/>
        <v>1960</v>
      </c>
      <c r="N1321">
        <f t="shared" si="838"/>
        <v>140</v>
      </c>
    </row>
    <row r="1322" spans="1:14" x14ac:dyDescent="0.25">
      <c r="A1322">
        <v>354</v>
      </c>
      <c r="B1322" s="1">
        <v>43914</v>
      </c>
      <c r="C1322" t="s">
        <v>276</v>
      </c>
      <c r="D1322" t="s">
        <v>15</v>
      </c>
      <c r="F1322" t="s">
        <v>261</v>
      </c>
      <c r="G1322">
        <v>5</v>
      </c>
      <c r="H1322">
        <v>240</v>
      </c>
      <c r="I1322">
        <f t="shared" si="801"/>
        <v>1200</v>
      </c>
      <c r="J1322" t="s">
        <v>163</v>
      </c>
      <c r="K1322">
        <v>204</v>
      </c>
      <c r="M1322">
        <f t="shared" si="837"/>
        <v>1020</v>
      </c>
      <c r="N1322">
        <f t="shared" si="838"/>
        <v>180</v>
      </c>
    </row>
    <row r="1323" spans="1:14" x14ac:dyDescent="0.25">
      <c r="A1323">
        <v>355</v>
      </c>
      <c r="B1323" s="1">
        <v>43914</v>
      </c>
      <c r="C1323" t="s">
        <v>276</v>
      </c>
      <c r="D1323" t="s">
        <v>24</v>
      </c>
      <c r="F1323" t="s">
        <v>24</v>
      </c>
      <c r="G1323">
        <v>1</v>
      </c>
      <c r="H1323">
        <v>100</v>
      </c>
      <c r="I1323">
        <f t="shared" si="801"/>
        <v>100</v>
      </c>
      <c r="J1323" t="s">
        <v>186</v>
      </c>
      <c r="K1323">
        <v>68.22</v>
      </c>
      <c r="M1323">
        <f t="shared" ref="M1323:M1325" si="839">+K1323*G1323</f>
        <v>68.22</v>
      </c>
      <c r="N1323">
        <f t="shared" ref="N1323:N1325" si="840">+I1323-M1323</f>
        <v>31.78</v>
      </c>
    </row>
    <row r="1324" spans="1:14" x14ac:dyDescent="0.25">
      <c r="A1324">
        <v>356</v>
      </c>
      <c r="B1324" s="1">
        <v>43914</v>
      </c>
      <c r="C1324" t="s">
        <v>276</v>
      </c>
      <c r="D1324" t="s">
        <v>25</v>
      </c>
      <c r="F1324" t="s">
        <v>60</v>
      </c>
      <c r="G1324">
        <v>1</v>
      </c>
      <c r="H1324">
        <v>60</v>
      </c>
      <c r="I1324">
        <f t="shared" si="801"/>
        <v>60</v>
      </c>
      <c r="J1324" t="s">
        <v>165</v>
      </c>
      <c r="K1324">
        <f t="shared" ref="K1324" si="841">380/12</f>
        <v>31.666666666666668</v>
      </c>
      <c r="M1324">
        <f t="shared" si="839"/>
        <v>31.666666666666668</v>
      </c>
      <c r="N1324">
        <f t="shared" si="840"/>
        <v>28.333333333333332</v>
      </c>
    </row>
    <row r="1325" spans="1:14" x14ac:dyDescent="0.25">
      <c r="A1325">
        <v>357</v>
      </c>
      <c r="B1325" s="1">
        <v>43914</v>
      </c>
      <c r="C1325" t="s">
        <v>276</v>
      </c>
      <c r="D1325" t="s">
        <v>44</v>
      </c>
      <c r="F1325" t="s">
        <v>133</v>
      </c>
      <c r="G1325">
        <v>1</v>
      </c>
      <c r="H1325">
        <v>35</v>
      </c>
      <c r="I1325">
        <f t="shared" si="801"/>
        <v>35</v>
      </c>
      <c r="J1325" t="s">
        <v>166</v>
      </c>
      <c r="K1325">
        <v>26</v>
      </c>
      <c r="M1325">
        <f t="shared" si="839"/>
        <v>26</v>
      </c>
      <c r="N1325">
        <f t="shared" si="840"/>
        <v>9</v>
      </c>
    </row>
    <row r="1326" spans="1:14" x14ac:dyDescent="0.25">
      <c r="A1326">
        <v>358</v>
      </c>
      <c r="B1326" s="1">
        <v>43914</v>
      </c>
      <c r="C1326" t="s">
        <v>276</v>
      </c>
      <c r="D1326" t="s">
        <v>56</v>
      </c>
      <c r="F1326" t="s">
        <v>38</v>
      </c>
      <c r="G1326">
        <v>2</v>
      </c>
      <c r="H1326">
        <v>110</v>
      </c>
      <c r="I1326">
        <f t="shared" si="801"/>
        <v>220</v>
      </c>
      <c r="J1326" t="s">
        <v>164</v>
      </c>
      <c r="K1326">
        <v>70</v>
      </c>
      <c r="M1326">
        <f t="shared" ref="M1326:M1327" si="842">+K1326*G1326</f>
        <v>140</v>
      </c>
      <c r="N1326">
        <f t="shared" ref="N1326:N1327" si="843">+I1326-M1326</f>
        <v>80</v>
      </c>
    </row>
    <row r="1327" spans="1:14" x14ac:dyDescent="0.25">
      <c r="A1327">
        <v>359</v>
      </c>
      <c r="B1327" s="1">
        <v>43914</v>
      </c>
      <c r="C1327" t="s">
        <v>276</v>
      </c>
      <c r="D1327" t="s">
        <v>15</v>
      </c>
      <c r="F1327" t="s">
        <v>309</v>
      </c>
      <c r="G1327">
        <v>28</v>
      </c>
      <c r="H1327">
        <v>240</v>
      </c>
      <c r="I1327">
        <f t="shared" si="801"/>
        <v>6720</v>
      </c>
      <c r="J1327" t="s">
        <v>163</v>
      </c>
      <c r="K1327">
        <v>205</v>
      </c>
      <c r="M1327">
        <f t="shared" si="842"/>
        <v>5740</v>
      </c>
      <c r="N1327">
        <f t="shared" si="843"/>
        <v>980</v>
      </c>
    </row>
    <row r="1328" spans="1:14" x14ac:dyDescent="0.25">
      <c r="A1328">
        <v>360</v>
      </c>
      <c r="B1328" s="1">
        <v>43914</v>
      </c>
      <c r="C1328" t="s">
        <v>276</v>
      </c>
      <c r="D1328" t="s">
        <v>15</v>
      </c>
      <c r="F1328" t="s">
        <v>252</v>
      </c>
      <c r="G1328">
        <v>2</v>
      </c>
      <c r="H1328">
        <v>280</v>
      </c>
      <c r="I1328">
        <f t="shared" si="801"/>
        <v>560</v>
      </c>
      <c r="J1328" t="s">
        <v>163</v>
      </c>
      <c r="K1328">
        <v>216</v>
      </c>
      <c r="M1328">
        <f t="shared" ref="M1328" si="844">+K1328*G1328</f>
        <v>432</v>
      </c>
      <c r="N1328">
        <f t="shared" ref="N1328" si="845">+I1328-M1328</f>
        <v>128</v>
      </c>
    </row>
    <row r="1329" spans="1:14" x14ac:dyDescent="0.25">
      <c r="A1329">
        <v>361</v>
      </c>
      <c r="B1329" s="1">
        <v>43914</v>
      </c>
      <c r="C1329" t="s">
        <v>276</v>
      </c>
      <c r="D1329" t="s">
        <v>55</v>
      </c>
      <c r="F1329" t="s">
        <v>97</v>
      </c>
      <c r="G1329">
        <v>7</v>
      </c>
      <c r="H1329">
        <v>280</v>
      </c>
      <c r="I1329">
        <f t="shared" si="801"/>
        <v>1960</v>
      </c>
      <c r="J1329" t="s">
        <v>167</v>
      </c>
      <c r="K1329">
        <v>207</v>
      </c>
      <c r="M1329">
        <f t="shared" ref="M1329:M1331" si="846">+K1329*G1329</f>
        <v>1449</v>
      </c>
      <c r="N1329">
        <f t="shared" ref="N1329:N1331" si="847">+I1329-M1329</f>
        <v>511</v>
      </c>
    </row>
    <row r="1330" spans="1:14" x14ac:dyDescent="0.25">
      <c r="A1330">
        <v>362</v>
      </c>
      <c r="B1330" s="1">
        <v>43914</v>
      </c>
      <c r="C1330" t="s">
        <v>276</v>
      </c>
      <c r="D1330" t="s">
        <v>55</v>
      </c>
      <c r="F1330" t="s">
        <v>22</v>
      </c>
      <c r="G1330">
        <v>12</v>
      </c>
      <c r="H1330">
        <v>300</v>
      </c>
      <c r="I1330">
        <f t="shared" si="801"/>
        <v>3600</v>
      </c>
      <c r="J1330" t="s">
        <v>167</v>
      </c>
      <c r="K1330">
        <v>268</v>
      </c>
      <c r="M1330">
        <f t="shared" si="846"/>
        <v>3216</v>
      </c>
      <c r="N1330">
        <f t="shared" si="847"/>
        <v>384</v>
      </c>
    </row>
    <row r="1331" spans="1:14" x14ac:dyDescent="0.25">
      <c r="A1331">
        <v>363</v>
      </c>
      <c r="B1331" s="1">
        <v>43914</v>
      </c>
      <c r="C1331" t="s">
        <v>276</v>
      </c>
      <c r="D1331" t="s">
        <v>44</v>
      </c>
      <c r="F1331" t="s">
        <v>133</v>
      </c>
      <c r="G1331">
        <v>2</v>
      </c>
      <c r="H1331">
        <v>35</v>
      </c>
      <c r="I1331">
        <f t="shared" si="801"/>
        <v>70</v>
      </c>
      <c r="J1331" t="s">
        <v>166</v>
      </c>
      <c r="K1331">
        <v>26</v>
      </c>
      <c r="M1331">
        <f t="shared" si="846"/>
        <v>52</v>
      </c>
      <c r="N1331">
        <f t="shared" si="847"/>
        <v>18</v>
      </c>
    </row>
    <row r="1332" spans="1:14" x14ac:dyDescent="0.25">
      <c r="A1332">
        <v>364</v>
      </c>
      <c r="B1332" s="1">
        <v>43914</v>
      </c>
      <c r="C1332" t="s">
        <v>276</v>
      </c>
      <c r="D1332" t="s">
        <v>15</v>
      </c>
      <c r="F1332" t="s">
        <v>309</v>
      </c>
      <c r="G1332">
        <v>18</v>
      </c>
      <c r="H1332">
        <v>230</v>
      </c>
      <c r="I1332">
        <f t="shared" si="801"/>
        <v>4140</v>
      </c>
      <c r="J1332" t="s">
        <v>163</v>
      </c>
      <c r="K1332">
        <v>205</v>
      </c>
      <c r="M1332">
        <f t="shared" ref="M1332:M1337" si="848">+K1332*G1332</f>
        <v>3690</v>
      </c>
      <c r="N1332">
        <f t="shared" ref="N1332:N1337" si="849">+I1332-M1332</f>
        <v>450</v>
      </c>
    </row>
    <row r="1333" spans="1:14" x14ac:dyDescent="0.25">
      <c r="A1333">
        <v>365</v>
      </c>
      <c r="B1333" s="1">
        <v>43914</v>
      </c>
      <c r="C1333" t="s">
        <v>276</v>
      </c>
      <c r="D1333" t="s">
        <v>15</v>
      </c>
      <c r="F1333" t="s">
        <v>54</v>
      </c>
      <c r="G1333">
        <v>24</v>
      </c>
      <c r="H1333">
        <v>240</v>
      </c>
      <c r="I1333">
        <f t="shared" si="801"/>
        <v>5760</v>
      </c>
      <c r="J1333" t="s">
        <v>163</v>
      </c>
      <c r="K1333">
        <v>214</v>
      </c>
      <c r="M1333">
        <f t="shared" si="848"/>
        <v>5136</v>
      </c>
      <c r="N1333">
        <f t="shared" si="849"/>
        <v>624</v>
      </c>
    </row>
    <row r="1334" spans="1:14" x14ac:dyDescent="0.25">
      <c r="A1334">
        <v>366</v>
      </c>
      <c r="B1334" s="1">
        <v>43914</v>
      </c>
      <c r="C1334" t="s">
        <v>276</v>
      </c>
      <c r="D1334" t="s">
        <v>56</v>
      </c>
      <c r="F1334" t="s">
        <v>267</v>
      </c>
      <c r="G1334">
        <v>7</v>
      </c>
      <c r="H1334">
        <v>170</v>
      </c>
      <c r="I1334">
        <f t="shared" si="801"/>
        <v>1190</v>
      </c>
      <c r="J1334" t="s">
        <v>163</v>
      </c>
      <c r="K1334">
        <v>121</v>
      </c>
      <c r="M1334">
        <f t="shared" si="848"/>
        <v>847</v>
      </c>
      <c r="N1334">
        <f t="shared" si="849"/>
        <v>343</v>
      </c>
    </row>
    <row r="1335" spans="1:14" x14ac:dyDescent="0.25">
      <c r="A1335">
        <v>367</v>
      </c>
      <c r="B1335" s="1">
        <v>43914</v>
      </c>
      <c r="C1335" t="s">
        <v>276</v>
      </c>
      <c r="D1335" t="s">
        <v>25</v>
      </c>
      <c r="F1335" t="s">
        <v>172</v>
      </c>
      <c r="G1335">
        <v>2</v>
      </c>
      <c r="H1335">
        <v>100</v>
      </c>
      <c r="I1335">
        <f t="shared" si="801"/>
        <v>200</v>
      </c>
      <c r="J1335" t="s">
        <v>163</v>
      </c>
      <c r="K1335">
        <v>76</v>
      </c>
      <c r="M1335">
        <f t="shared" si="848"/>
        <v>152</v>
      </c>
      <c r="N1335">
        <f t="shared" si="849"/>
        <v>48</v>
      </c>
    </row>
    <row r="1336" spans="1:14" x14ac:dyDescent="0.25">
      <c r="A1336">
        <v>368</v>
      </c>
      <c r="B1336" s="1">
        <v>43914</v>
      </c>
      <c r="C1336" t="s">
        <v>276</v>
      </c>
      <c r="D1336" t="s">
        <v>25</v>
      </c>
      <c r="F1336" t="s">
        <v>172</v>
      </c>
      <c r="G1336">
        <v>1</v>
      </c>
      <c r="H1336">
        <v>100</v>
      </c>
      <c r="I1336">
        <f t="shared" si="801"/>
        <v>100</v>
      </c>
      <c r="J1336" t="s">
        <v>163</v>
      </c>
      <c r="K1336">
        <v>76</v>
      </c>
      <c r="M1336">
        <f t="shared" si="848"/>
        <v>76</v>
      </c>
      <c r="N1336">
        <f t="shared" si="849"/>
        <v>24</v>
      </c>
    </row>
    <row r="1337" spans="1:14" x14ac:dyDescent="0.25">
      <c r="A1337">
        <v>369</v>
      </c>
      <c r="B1337" s="1">
        <v>43914</v>
      </c>
      <c r="C1337" t="s">
        <v>276</v>
      </c>
      <c r="D1337" t="s">
        <v>15</v>
      </c>
      <c r="F1337" t="s">
        <v>292</v>
      </c>
      <c r="G1337">
        <f>3/8</f>
        <v>0.375</v>
      </c>
      <c r="H1337">
        <v>230</v>
      </c>
      <c r="I1337">
        <f t="shared" si="801"/>
        <v>86.25</v>
      </c>
      <c r="J1337" t="s">
        <v>163</v>
      </c>
      <c r="K1337">
        <v>177</v>
      </c>
      <c r="M1337">
        <f t="shared" si="848"/>
        <v>66.375</v>
      </c>
      <c r="N1337">
        <f t="shared" si="849"/>
        <v>19.875</v>
      </c>
    </row>
    <row r="1338" spans="1:14" x14ac:dyDescent="0.25">
      <c r="A1338">
        <v>370</v>
      </c>
      <c r="B1338" s="1">
        <v>43914</v>
      </c>
      <c r="C1338" t="s">
        <v>276</v>
      </c>
      <c r="D1338" t="s">
        <v>26</v>
      </c>
      <c r="F1338" t="s">
        <v>310</v>
      </c>
      <c r="G1338">
        <v>3</v>
      </c>
      <c r="H1338">
        <f>12*34</f>
        <v>408</v>
      </c>
      <c r="I1338">
        <f t="shared" si="801"/>
        <v>1224</v>
      </c>
      <c r="J1338" t="s">
        <v>23</v>
      </c>
    </row>
    <row r="1339" spans="1:14" x14ac:dyDescent="0.25">
      <c r="A1339">
        <v>371</v>
      </c>
      <c r="B1339" s="1">
        <v>43914</v>
      </c>
      <c r="C1339" t="s">
        <v>276</v>
      </c>
      <c r="D1339" t="s">
        <v>56</v>
      </c>
      <c r="F1339" t="s">
        <v>267</v>
      </c>
      <c r="G1339">
        <v>1</v>
      </c>
      <c r="H1339">
        <v>170</v>
      </c>
      <c r="I1339">
        <f t="shared" si="801"/>
        <v>170</v>
      </c>
      <c r="J1339" t="s">
        <v>163</v>
      </c>
      <c r="K1339">
        <v>121</v>
      </c>
      <c r="M1339">
        <f t="shared" ref="M1339:M1341" si="850">+K1339*G1339</f>
        <v>121</v>
      </c>
      <c r="N1339">
        <f t="shared" ref="N1339:N1341" si="851">+I1339-M1339</f>
        <v>49</v>
      </c>
    </row>
    <row r="1340" spans="1:14" x14ac:dyDescent="0.25">
      <c r="A1340">
        <v>372</v>
      </c>
      <c r="B1340" s="1">
        <v>43914</v>
      </c>
      <c r="C1340" t="s">
        <v>276</v>
      </c>
      <c r="D1340" t="s">
        <v>15</v>
      </c>
      <c r="F1340" t="s">
        <v>252</v>
      </c>
      <c r="G1340">
        <v>3</v>
      </c>
      <c r="H1340">
        <v>280</v>
      </c>
      <c r="I1340">
        <f t="shared" ref="I1340:I1405" si="852">+G1340*H1340</f>
        <v>840</v>
      </c>
      <c r="J1340" t="s">
        <v>163</v>
      </c>
      <c r="K1340">
        <v>216</v>
      </c>
      <c r="M1340">
        <f t="shared" si="850"/>
        <v>648</v>
      </c>
      <c r="N1340">
        <f t="shared" si="851"/>
        <v>192</v>
      </c>
    </row>
    <row r="1341" spans="1:14" x14ac:dyDescent="0.25">
      <c r="A1341">
        <v>373</v>
      </c>
      <c r="B1341" s="1">
        <v>43914</v>
      </c>
      <c r="C1341" t="s">
        <v>276</v>
      </c>
      <c r="D1341" t="s">
        <v>15</v>
      </c>
      <c r="F1341" t="s">
        <v>54</v>
      </c>
      <c r="G1341">
        <v>20</v>
      </c>
      <c r="H1341">
        <v>240</v>
      </c>
      <c r="I1341">
        <f t="shared" si="852"/>
        <v>4800</v>
      </c>
      <c r="J1341" t="s">
        <v>163</v>
      </c>
      <c r="K1341">
        <v>214</v>
      </c>
      <c r="M1341">
        <f t="shared" si="850"/>
        <v>4280</v>
      </c>
      <c r="N1341">
        <f t="shared" si="851"/>
        <v>520</v>
      </c>
    </row>
    <row r="1342" spans="1:14" x14ac:dyDescent="0.25">
      <c r="A1342">
        <v>374</v>
      </c>
      <c r="B1342" s="1">
        <v>43915</v>
      </c>
      <c r="C1342" t="s">
        <v>276</v>
      </c>
      <c r="D1342" t="s">
        <v>25</v>
      </c>
      <c r="F1342" t="s">
        <v>83</v>
      </c>
      <c r="G1342">
        <v>2</v>
      </c>
      <c r="H1342">
        <v>60</v>
      </c>
      <c r="I1342">
        <f t="shared" si="852"/>
        <v>120</v>
      </c>
      <c r="J1342" t="s">
        <v>165</v>
      </c>
      <c r="K1342">
        <f t="shared" ref="K1342" si="853">380/12</f>
        <v>31.666666666666668</v>
      </c>
      <c r="M1342">
        <f t="shared" ref="M1342:M1343" si="854">+K1342*G1342</f>
        <v>63.333333333333336</v>
      </c>
      <c r="N1342">
        <f t="shared" ref="N1342:N1343" si="855">+I1342-M1342</f>
        <v>56.666666666666664</v>
      </c>
    </row>
    <row r="1343" spans="1:14" x14ac:dyDescent="0.25">
      <c r="A1343">
        <v>375</v>
      </c>
      <c r="B1343" s="1">
        <v>43915</v>
      </c>
      <c r="C1343" t="s">
        <v>276</v>
      </c>
      <c r="D1343" t="s">
        <v>15</v>
      </c>
      <c r="F1343" t="s">
        <v>261</v>
      </c>
      <c r="G1343">
        <v>10</v>
      </c>
      <c r="H1343">
        <v>240</v>
      </c>
      <c r="I1343">
        <f t="shared" si="852"/>
        <v>2400</v>
      </c>
      <c r="J1343" t="s">
        <v>163</v>
      </c>
      <c r="K1343">
        <v>204</v>
      </c>
      <c r="M1343">
        <f t="shared" si="854"/>
        <v>2040</v>
      </c>
      <c r="N1343">
        <f t="shared" si="855"/>
        <v>360</v>
      </c>
    </row>
    <row r="1344" spans="1:14" x14ac:dyDescent="0.25">
      <c r="A1344">
        <v>376</v>
      </c>
      <c r="B1344" s="1">
        <v>43915</v>
      </c>
      <c r="C1344" t="s">
        <v>276</v>
      </c>
      <c r="D1344" t="s">
        <v>25</v>
      </c>
      <c r="F1344" t="s">
        <v>60</v>
      </c>
      <c r="G1344">
        <v>1</v>
      </c>
      <c r="H1344">
        <v>60</v>
      </c>
      <c r="I1344">
        <f t="shared" si="852"/>
        <v>60</v>
      </c>
      <c r="J1344" t="s">
        <v>165</v>
      </c>
      <c r="K1344">
        <f t="shared" ref="K1344" si="856">380/12</f>
        <v>31.666666666666668</v>
      </c>
      <c r="M1344">
        <f t="shared" ref="M1344" si="857">+K1344*G1344</f>
        <v>31.666666666666668</v>
      </c>
      <c r="N1344">
        <f t="shared" ref="N1344" si="858">+I1344-M1344</f>
        <v>28.333333333333332</v>
      </c>
    </row>
    <row r="1345" spans="1:14" x14ac:dyDescent="0.25">
      <c r="A1345">
        <v>377</v>
      </c>
      <c r="B1345" s="1">
        <v>43915</v>
      </c>
      <c r="C1345" t="s">
        <v>276</v>
      </c>
      <c r="D1345" t="s">
        <v>56</v>
      </c>
      <c r="F1345" t="s">
        <v>38</v>
      </c>
      <c r="G1345">
        <v>4</v>
      </c>
      <c r="H1345">
        <v>110</v>
      </c>
      <c r="I1345">
        <f t="shared" si="852"/>
        <v>440</v>
      </c>
      <c r="J1345" t="s">
        <v>164</v>
      </c>
      <c r="K1345">
        <v>70</v>
      </c>
      <c r="M1345">
        <f t="shared" ref="M1345" si="859">+K1345*G1345</f>
        <v>280</v>
      </c>
      <c r="N1345">
        <f t="shared" ref="N1345" si="860">+I1345-M1345</f>
        <v>160</v>
      </c>
    </row>
    <row r="1346" spans="1:14" x14ac:dyDescent="0.25">
      <c r="A1346">
        <v>378</v>
      </c>
      <c r="B1346" s="1">
        <v>43915</v>
      </c>
      <c r="C1346" t="s">
        <v>276</v>
      </c>
      <c r="D1346" t="s">
        <v>24</v>
      </c>
      <c r="F1346" t="s">
        <v>24</v>
      </c>
      <c r="G1346">
        <v>1</v>
      </c>
      <c r="H1346">
        <v>100</v>
      </c>
      <c r="I1346">
        <f t="shared" si="852"/>
        <v>100</v>
      </c>
      <c r="J1346" t="s">
        <v>186</v>
      </c>
      <c r="K1346">
        <v>68.22</v>
      </c>
      <c r="M1346">
        <f t="shared" ref="M1346:M1347" si="861">+K1346*G1346</f>
        <v>68.22</v>
      </c>
      <c r="N1346">
        <f t="shared" ref="N1346:N1347" si="862">+I1346-M1346</f>
        <v>31.78</v>
      </c>
    </row>
    <row r="1347" spans="1:14" x14ac:dyDescent="0.25">
      <c r="A1347">
        <v>379</v>
      </c>
      <c r="B1347" s="1">
        <v>43915</v>
      </c>
      <c r="C1347" t="s">
        <v>276</v>
      </c>
      <c r="D1347" t="s">
        <v>56</v>
      </c>
      <c r="F1347" t="s">
        <v>38</v>
      </c>
      <c r="G1347">
        <v>3</v>
      </c>
      <c r="H1347">
        <v>110</v>
      </c>
      <c r="I1347">
        <f t="shared" si="852"/>
        <v>330</v>
      </c>
      <c r="J1347" t="s">
        <v>164</v>
      </c>
      <c r="K1347">
        <v>70</v>
      </c>
      <c r="M1347">
        <f t="shared" si="861"/>
        <v>210</v>
      </c>
      <c r="N1347">
        <f t="shared" si="862"/>
        <v>120</v>
      </c>
    </row>
    <row r="1348" spans="1:14" x14ac:dyDescent="0.25">
      <c r="A1348">
        <v>380</v>
      </c>
      <c r="B1348" s="1">
        <v>43915</v>
      </c>
      <c r="C1348" t="s">
        <v>276</v>
      </c>
      <c r="D1348" t="s">
        <v>55</v>
      </c>
      <c r="F1348" t="s">
        <v>39</v>
      </c>
      <c r="G1348">
        <v>3</v>
      </c>
      <c r="H1348">
        <v>300</v>
      </c>
      <c r="I1348">
        <f t="shared" si="852"/>
        <v>900</v>
      </c>
      <c r="J1348" t="s">
        <v>167</v>
      </c>
      <c r="K1348">
        <v>268</v>
      </c>
      <c r="M1348">
        <f t="shared" ref="M1348:M1351" si="863">+K1348*G1348</f>
        <v>804</v>
      </c>
      <c r="N1348">
        <f t="shared" ref="N1348:N1351" si="864">+I1348-M1348</f>
        <v>96</v>
      </c>
    </row>
    <row r="1349" spans="1:14" x14ac:dyDescent="0.25">
      <c r="A1349">
        <v>381</v>
      </c>
      <c r="B1349" s="1">
        <v>43915</v>
      </c>
      <c r="C1349" t="s">
        <v>276</v>
      </c>
      <c r="D1349" t="s">
        <v>15</v>
      </c>
      <c r="F1349" t="s">
        <v>20</v>
      </c>
      <c r="G1349">
        <v>1.54</v>
      </c>
      <c r="H1349">
        <v>240</v>
      </c>
      <c r="I1349">
        <f t="shared" si="852"/>
        <v>369.6</v>
      </c>
      <c r="J1349" t="s">
        <v>163</v>
      </c>
      <c r="K1349">
        <v>216</v>
      </c>
      <c r="M1349">
        <f t="shared" si="863"/>
        <v>332.64</v>
      </c>
      <c r="N1349">
        <f t="shared" si="864"/>
        <v>36.960000000000036</v>
      </c>
    </row>
    <row r="1350" spans="1:14" x14ac:dyDescent="0.25">
      <c r="A1350">
        <v>382</v>
      </c>
      <c r="B1350" s="1">
        <v>43915</v>
      </c>
      <c r="C1350" t="s">
        <v>276</v>
      </c>
      <c r="D1350" t="s">
        <v>15</v>
      </c>
      <c r="F1350" t="s">
        <v>54</v>
      </c>
      <c r="G1350">
        <f>8/4.32</f>
        <v>1.8518518518518516</v>
      </c>
      <c r="H1350">
        <v>240</v>
      </c>
      <c r="I1350">
        <f t="shared" si="852"/>
        <v>444.4444444444444</v>
      </c>
      <c r="J1350" t="s">
        <v>163</v>
      </c>
      <c r="K1350">
        <v>214</v>
      </c>
      <c r="M1350">
        <f t="shared" si="863"/>
        <v>396.29629629629625</v>
      </c>
      <c r="N1350">
        <f t="shared" si="864"/>
        <v>48.148148148148152</v>
      </c>
    </row>
    <row r="1351" spans="1:14" x14ac:dyDescent="0.25">
      <c r="A1351">
        <v>383</v>
      </c>
      <c r="B1351" s="1">
        <v>43915</v>
      </c>
      <c r="C1351" t="s">
        <v>276</v>
      </c>
      <c r="D1351" t="s">
        <v>15</v>
      </c>
      <c r="F1351" t="s">
        <v>80</v>
      </c>
      <c r="G1351">
        <v>2.31</v>
      </c>
      <c r="H1351">
        <v>240</v>
      </c>
      <c r="I1351">
        <f t="shared" si="852"/>
        <v>554.4</v>
      </c>
      <c r="J1351" t="s">
        <v>163</v>
      </c>
      <c r="K1351">
        <v>213</v>
      </c>
      <c r="M1351">
        <f t="shared" si="863"/>
        <v>492.03000000000003</v>
      </c>
      <c r="N1351">
        <f t="shared" si="864"/>
        <v>62.369999999999948</v>
      </c>
    </row>
    <row r="1352" spans="1:14" x14ac:dyDescent="0.25">
      <c r="A1352">
        <v>384</v>
      </c>
      <c r="B1352" s="1">
        <v>43916</v>
      </c>
      <c r="C1352" t="s">
        <v>276</v>
      </c>
      <c r="D1352" t="s">
        <v>56</v>
      </c>
      <c r="F1352" t="s">
        <v>38</v>
      </c>
      <c r="G1352">
        <v>4</v>
      </c>
      <c r="H1352">
        <v>110</v>
      </c>
      <c r="I1352">
        <f t="shared" si="852"/>
        <v>440</v>
      </c>
      <c r="J1352" t="s">
        <v>164</v>
      </c>
      <c r="K1352">
        <v>70</v>
      </c>
      <c r="M1352">
        <f t="shared" ref="M1352" si="865">+K1352*G1352</f>
        <v>280</v>
      </c>
      <c r="N1352">
        <f t="shared" ref="N1352" si="866">+I1352-M1352</f>
        <v>160</v>
      </c>
    </row>
    <row r="1353" spans="1:14" x14ac:dyDescent="0.25">
      <c r="A1353">
        <v>385</v>
      </c>
      <c r="B1353" s="1">
        <v>43916</v>
      </c>
      <c r="C1353" t="s">
        <v>276</v>
      </c>
      <c r="D1353" t="s">
        <v>24</v>
      </c>
      <c r="F1353" t="s">
        <v>24</v>
      </c>
      <c r="G1353">
        <v>3.2</v>
      </c>
      <c r="H1353">
        <v>100</v>
      </c>
      <c r="I1353">
        <f t="shared" si="852"/>
        <v>320</v>
      </c>
      <c r="J1353" t="s">
        <v>186</v>
      </c>
      <c r="K1353">
        <v>68.22</v>
      </c>
      <c r="M1353">
        <f t="shared" ref="M1353:M1355" si="867">+K1353*G1353</f>
        <v>218.304</v>
      </c>
      <c r="N1353">
        <f t="shared" ref="N1353:N1355" si="868">+I1353-M1353</f>
        <v>101.696</v>
      </c>
    </row>
    <row r="1354" spans="1:14" x14ac:dyDescent="0.25">
      <c r="A1354">
        <v>386</v>
      </c>
      <c r="B1354" s="1">
        <v>43916</v>
      </c>
      <c r="C1354" t="s">
        <v>276</v>
      </c>
      <c r="D1354" t="s">
        <v>15</v>
      </c>
      <c r="F1354" t="s">
        <v>297</v>
      </c>
      <c r="G1354">
        <v>6</v>
      </c>
      <c r="H1354">
        <v>240</v>
      </c>
      <c r="I1354">
        <f t="shared" si="852"/>
        <v>1440</v>
      </c>
      <c r="J1354" t="s">
        <v>163</v>
      </c>
      <c r="K1354">
        <v>207</v>
      </c>
      <c r="M1354">
        <f t="shared" si="867"/>
        <v>1242</v>
      </c>
      <c r="N1354">
        <f t="shared" si="868"/>
        <v>198</v>
      </c>
    </row>
    <row r="1355" spans="1:14" x14ac:dyDescent="0.25">
      <c r="A1355">
        <v>387</v>
      </c>
      <c r="B1355" s="1">
        <v>43916</v>
      </c>
      <c r="C1355" t="s">
        <v>276</v>
      </c>
      <c r="D1355" t="s">
        <v>44</v>
      </c>
      <c r="F1355" t="s">
        <v>133</v>
      </c>
      <c r="G1355">
        <v>2</v>
      </c>
      <c r="H1355">
        <v>35</v>
      </c>
      <c r="I1355">
        <f t="shared" si="852"/>
        <v>70</v>
      </c>
      <c r="J1355" t="s">
        <v>166</v>
      </c>
      <c r="K1355">
        <v>26</v>
      </c>
      <c r="M1355">
        <f t="shared" si="867"/>
        <v>52</v>
      </c>
      <c r="N1355">
        <f t="shared" si="868"/>
        <v>18</v>
      </c>
    </row>
    <row r="1356" spans="1:14" x14ac:dyDescent="0.25">
      <c r="A1356">
        <v>388</v>
      </c>
      <c r="B1356" s="1">
        <v>43916</v>
      </c>
      <c r="C1356" t="s">
        <v>276</v>
      </c>
      <c r="D1356" t="s">
        <v>85</v>
      </c>
      <c r="F1356" t="s">
        <v>216</v>
      </c>
      <c r="G1356">
        <v>1</v>
      </c>
      <c r="H1356">
        <v>900</v>
      </c>
      <c r="I1356">
        <f t="shared" si="852"/>
        <v>900</v>
      </c>
      <c r="J1356" t="s">
        <v>167</v>
      </c>
      <c r="K1356">
        <v>398</v>
      </c>
      <c r="M1356">
        <f t="shared" ref="M1356:M1357" si="869">+K1356*G1356</f>
        <v>398</v>
      </c>
      <c r="N1356">
        <f t="shared" ref="N1356:N1357" si="870">+I1356-M1356</f>
        <v>502</v>
      </c>
    </row>
    <row r="1357" spans="1:14" x14ac:dyDescent="0.25">
      <c r="A1357">
        <v>389</v>
      </c>
      <c r="B1357" s="1">
        <v>43916</v>
      </c>
      <c r="C1357" t="s">
        <v>276</v>
      </c>
      <c r="D1357" t="s">
        <v>85</v>
      </c>
      <c r="F1357" t="s">
        <v>253</v>
      </c>
      <c r="G1357">
        <v>1</v>
      </c>
      <c r="H1357">
        <v>900</v>
      </c>
      <c r="I1357">
        <f t="shared" si="852"/>
        <v>900</v>
      </c>
      <c r="J1357" t="s">
        <v>167</v>
      </c>
      <c r="K1357">
        <v>395</v>
      </c>
      <c r="M1357">
        <f t="shared" si="869"/>
        <v>395</v>
      </c>
      <c r="N1357">
        <f t="shared" si="870"/>
        <v>505</v>
      </c>
    </row>
    <row r="1358" spans="1:14" x14ac:dyDescent="0.25">
      <c r="A1358">
        <v>390</v>
      </c>
      <c r="B1358" s="1">
        <v>43916</v>
      </c>
      <c r="C1358" t="s">
        <v>276</v>
      </c>
      <c r="D1358" t="s">
        <v>85</v>
      </c>
      <c r="F1358" t="s">
        <v>311</v>
      </c>
      <c r="G1358">
        <v>1</v>
      </c>
      <c r="H1358">
        <v>475</v>
      </c>
      <c r="I1358">
        <f t="shared" si="852"/>
        <v>475</v>
      </c>
      <c r="J1358" t="s">
        <v>166</v>
      </c>
    </row>
    <row r="1359" spans="1:14" x14ac:dyDescent="0.25">
      <c r="A1359">
        <v>391</v>
      </c>
      <c r="B1359" s="1">
        <v>43916</v>
      </c>
      <c r="C1359" t="s">
        <v>276</v>
      </c>
      <c r="D1359" t="s">
        <v>26</v>
      </c>
      <c r="F1359" t="s">
        <v>47</v>
      </c>
      <c r="G1359">
        <v>7</v>
      </c>
      <c r="H1359">
        <v>380</v>
      </c>
      <c r="I1359">
        <f t="shared" si="852"/>
        <v>2660</v>
      </c>
      <c r="J1359" t="s">
        <v>99</v>
      </c>
      <c r="K1359">
        <v>310</v>
      </c>
      <c r="M1359">
        <f t="shared" ref="M1359:M1361" si="871">+K1359*G1359</f>
        <v>2170</v>
      </c>
      <c r="N1359">
        <f t="shared" ref="N1359:N1361" si="872">+I1359-M1359</f>
        <v>490</v>
      </c>
    </row>
    <row r="1360" spans="1:14" x14ac:dyDescent="0.25">
      <c r="A1360">
        <v>392</v>
      </c>
      <c r="B1360" s="1">
        <v>43916</v>
      </c>
      <c r="C1360" t="s">
        <v>276</v>
      </c>
      <c r="D1360" t="s">
        <v>56</v>
      </c>
      <c r="F1360" t="s">
        <v>176</v>
      </c>
      <c r="G1360">
        <v>7</v>
      </c>
      <c r="H1360">
        <v>260</v>
      </c>
      <c r="I1360">
        <f t="shared" si="852"/>
        <v>1820</v>
      </c>
      <c r="J1360" t="s">
        <v>163</v>
      </c>
      <c r="K1360">
        <v>186</v>
      </c>
      <c r="M1360">
        <f t="shared" si="871"/>
        <v>1302</v>
      </c>
      <c r="N1360">
        <f t="shared" si="872"/>
        <v>518</v>
      </c>
    </row>
    <row r="1361" spans="1:14" x14ac:dyDescent="0.25">
      <c r="A1361">
        <v>393</v>
      </c>
      <c r="B1361" s="1">
        <v>43916</v>
      </c>
      <c r="C1361" t="s">
        <v>276</v>
      </c>
      <c r="D1361" t="s">
        <v>44</v>
      </c>
      <c r="F1361" t="s">
        <v>133</v>
      </c>
      <c r="G1361">
        <v>1</v>
      </c>
      <c r="H1361">
        <v>35</v>
      </c>
      <c r="I1361">
        <f t="shared" si="852"/>
        <v>35</v>
      </c>
      <c r="J1361" t="s">
        <v>166</v>
      </c>
      <c r="K1361">
        <v>26</v>
      </c>
      <c r="M1361">
        <f t="shared" si="871"/>
        <v>26</v>
      </c>
      <c r="N1361">
        <f t="shared" si="872"/>
        <v>9</v>
      </c>
    </row>
    <row r="1362" spans="1:14" x14ac:dyDescent="0.25">
      <c r="A1362">
        <v>394</v>
      </c>
      <c r="B1362" s="1">
        <v>43916</v>
      </c>
      <c r="C1362" t="s">
        <v>276</v>
      </c>
      <c r="D1362" t="s">
        <v>15</v>
      </c>
      <c r="F1362" t="s">
        <v>297</v>
      </c>
      <c r="G1362">
        <v>1</v>
      </c>
      <c r="H1362">
        <v>240</v>
      </c>
      <c r="I1362">
        <f t="shared" si="852"/>
        <v>240</v>
      </c>
      <c r="J1362" t="s">
        <v>163</v>
      </c>
      <c r="K1362">
        <v>207</v>
      </c>
      <c r="M1362">
        <f t="shared" ref="M1362:M1364" si="873">+K1362*G1362</f>
        <v>207</v>
      </c>
      <c r="N1362">
        <f t="shared" ref="N1362:N1364" si="874">+I1362-M1362</f>
        <v>33</v>
      </c>
    </row>
    <row r="1363" spans="1:14" x14ac:dyDescent="0.25">
      <c r="A1363">
        <v>395</v>
      </c>
      <c r="B1363" s="1">
        <v>43916</v>
      </c>
      <c r="C1363" t="s">
        <v>276</v>
      </c>
      <c r="D1363" t="s">
        <v>15</v>
      </c>
      <c r="F1363" t="s">
        <v>297</v>
      </c>
      <c r="G1363">
        <v>1.5</v>
      </c>
      <c r="H1363">
        <v>240</v>
      </c>
      <c r="I1363">
        <f t="shared" si="852"/>
        <v>360</v>
      </c>
      <c r="J1363" t="s">
        <v>163</v>
      </c>
      <c r="K1363">
        <v>207</v>
      </c>
      <c r="M1363">
        <f t="shared" si="873"/>
        <v>310.5</v>
      </c>
      <c r="N1363">
        <f t="shared" si="874"/>
        <v>49.5</v>
      </c>
    </row>
    <row r="1364" spans="1:14" x14ac:dyDescent="0.25">
      <c r="A1364">
        <v>396</v>
      </c>
      <c r="B1364" s="1">
        <v>43916</v>
      </c>
      <c r="C1364" t="s">
        <v>276</v>
      </c>
      <c r="D1364" t="s">
        <v>56</v>
      </c>
      <c r="F1364" t="s">
        <v>267</v>
      </c>
      <c r="G1364">
        <v>6</v>
      </c>
      <c r="H1364">
        <v>170</v>
      </c>
      <c r="I1364">
        <f t="shared" si="852"/>
        <v>1020</v>
      </c>
      <c r="J1364" t="s">
        <v>163</v>
      </c>
      <c r="K1364">
        <v>121</v>
      </c>
      <c r="M1364">
        <f t="shared" si="873"/>
        <v>726</v>
      </c>
      <c r="N1364">
        <f t="shared" si="874"/>
        <v>294</v>
      </c>
    </row>
    <row r="1365" spans="1:14" x14ac:dyDescent="0.25">
      <c r="A1365">
        <v>397</v>
      </c>
      <c r="B1365" s="1">
        <v>43916</v>
      </c>
      <c r="C1365" t="s">
        <v>276</v>
      </c>
      <c r="D1365" t="s">
        <v>55</v>
      </c>
      <c r="F1365" t="s">
        <v>270</v>
      </c>
      <c r="G1365">
        <v>11</v>
      </c>
      <c r="H1365">
        <v>300</v>
      </c>
      <c r="I1365">
        <f t="shared" si="852"/>
        <v>3300</v>
      </c>
      <c r="J1365" t="s">
        <v>167</v>
      </c>
      <c r="K1365">
        <v>268</v>
      </c>
      <c r="M1365">
        <f t="shared" ref="M1365:M1367" si="875">+K1365*G1365</f>
        <v>2948</v>
      </c>
      <c r="N1365">
        <f t="shared" ref="N1365:N1367" si="876">+I1365-M1365</f>
        <v>352</v>
      </c>
    </row>
    <row r="1366" spans="1:14" x14ac:dyDescent="0.25">
      <c r="A1366">
        <v>398</v>
      </c>
      <c r="B1366" s="1">
        <v>43916</v>
      </c>
      <c r="C1366" t="s">
        <v>276</v>
      </c>
      <c r="D1366" t="s">
        <v>25</v>
      </c>
      <c r="F1366" t="s">
        <v>172</v>
      </c>
      <c r="G1366">
        <v>1</v>
      </c>
      <c r="H1366">
        <v>100</v>
      </c>
      <c r="I1366">
        <f t="shared" si="852"/>
        <v>100</v>
      </c>
      <c r="J1366" t="s">
        <v>163</v>
      </c>
      <c r="K1366">
        <v>76</v>
      </c>
      <c r="M1366">
        <f t="shared" si="875"/>
        <v>76</v>
      </c>
      <c r="N1366">
        <f t="shared" si="876"/>
        <v>24</v>
      </c>
    </row>
    <row r="1367" spans="1:14" x14ac:dyDescent="0.25">
      <c r="A1367">
        <v>399</v>
      </c>
      <c r="B1367" s="1">
        <v>43916</v>
      </c>
      <c r="C1367" t="s">
        <v>276</v>
      </c>
      <c r="D1367" t="s">
        <v>44</v>
      </c>
      <c r="F1367" t="s">
        <v>77</v>
      </c>
      <c r="G1367">
        <v>1</v>
      </c>
      <c r="H1367">
        <v>35</v>
      </c>
      <c r="I1367">
        <f t="shared" si="852"/>
        <v>35</v>
      </c>
      <c r="J1367" t="s">
        <v>166</v>
      </c>
      <c r="K1367">
        <v>26</v>
      </c>
      <c r="M1367">
        <f t="shared" si="875"/>
        <v>26</v>
      </c>
      <c r="N1367">
        <f t="shared" si="876"/>
        <v>9</v>
      </c>
    </row>
    <row r="1368" spans="1:14" x14ac:dyDescent="0.25">
      <c r="A1368">
        <v>400</v>
      </c>
      <c r="B1368" s="1">
        <v>43916</v>
      </c>
      <c r="C1368" t="s">
        <v>276</v>
      </c>
      <c r="D1368" t="s">
        <v>15</v>
      </c>
      <c r="F1368" t="s">
        <v>54</v>
      </c>
      <c r="G1368">
        <f>5*2.31</f>
        <v>11.55</v>
      </c>
      <c r="H1368">
        <v>240</v>
      </c>
      <c r="I1368">
        <f t="shared" si="852"/>
        <v>2772</v>
      </c>
      <c r="J1368" t="s">
        <v>163</v>
      </c>
      <c r="K1368">
        <v>214</v>
      </c>
      <c r="M1368">
        <f t="shared" ref="M1368:M1371" si="877">+K1368*G1368</f>
        <v>2471.7000000000003</v>
      </c>
      <c r="N1368">
        <f t="shared" ref="N1368:N1371" si="878">+I1368-M1368</f>
        <v>300.29999999999973</v>
      </c>
    </row>
    <row r="1369" spans="1:14" x14ac:dyDescent="0.25">
      <c r="A1369">
        <v>401</v>
      </c>
      <c r="B1369" s="1">
        <v>43916</v>
      </c>
      <c r="C1369" t="s">
        <v>276</v>
      </c>
      <c r="D1369" t="s">
        <v>56</v>
      </c>
      <c r="F1369" t="s">
        <v>267</v>
      </c>
      <c r="G1369">
        <v>1</v>
      </c>
      <c r="H1369">
        <v>170</v>
      </c>
      <c r="I1369">
        <f t="shared" si="852"/>
        <v>170</v>
      </c>
      <c r="J1369" t="s">
        <v>163</v>
      </c>
      <c r="K1369">
        <v>121</v>
      </c>
      <c r="M1369">
        <f t="shared" si="877"/>
        <v>121</v>
      </c>
      <c r="N1369">
        <f t="shared" si="878"/>
        <v>49</v>
      </c>
    </row>
    <row r="1370" spans="1:14" x14ac:dyDescent="0.25">
      <c r="A1370">
        <v>402</v>
      </c>
      <c r="B1370" s="1">
        <v>43916</v>
      </c>
      <c r="C1370" t="s">
        <v>276</v>
      </c>
      <c r="D1370" t="s">
        <v>15</v>
      </c>
      <c r="F1370" t="s">
        <v>76</v>
      </c>
      <c r="G1370">
        <v>4</v>
      </c>
      <c r="H1370">
        <v>230</v>
      </c>
      <c r="I1370">
        <f t="shared" si="852"/>
        <v>920</v>
      </c>
      <c r="J1370" t="s">
        <v>163</v>
      </c>
      <c r="K1370">
        <v>177</v>
      </c>
      <c r="M1370">
        <f t="shared" si="877"/>
        <v>708</v>
      </c>
      <c r="N1370">
        <f t="shared" si="878"/>
        <v>212</v>
      </c>
    </row>
    <row r="1371" spans="1:14" x14ac:dyDescent="0.25">
      <c r="A1371">
        <v>403</v>
      </c>
      <c r="B1371" s="1">
        <v>43916</v>
      </c>
      <c r="C1371" t="s">
        <v>276</v>
      </c>
      <c r="D1371" t="s">
        <v>15</v>
      </c>
      <c r="F1371" t="s">
        <v>297</v>
      </c>
      <c r="G1371">
        <v>8</v>
      </c>
      <c r="H1371">
        <v>240</v>
      </c>
      <c r="I1371">
        <f t="shared" si="852"/>
        <v>1920</v>
      </c>
      <c r="J1371" t="s">
        <v>163</v>
      </c>
      <c r="K1371">
        <v>207</v>
      </c>
      <c r="M1371">
        <f t="shared" si="877"/>
        <v>1656</v>
      </c>
      <c r="N1371">
        <f t="shared" si="878"/>
        <v>264</v>
      </c>
    </row>
    <row r="1372" spans="1:14" x14ac:dyDescent="0.25">
      <c r="A1372">
        <v>404</v>
      </c>
      <c r="B1372" s="1">
        <v>43916</v>
      </c>
      <c r="C1372" t="s">
        <v>276</v>
      </c>
      <c r="D1372" t="s">
        <v>56</v>
      </c>
      <c r="F1372" t="s">
        <v>38</v>
      </c>
      <c r="G1372">
        <v>6</v>
      </c>
      <c r="H1372">
        <v>110</v>
      </c>
      <c r="I1372">
        <f t="shared" si="852"/>
        <v>660</v>
      </c>
      <c r="J1372" t="s">
        <v>164</v>
      </c>
      <c r="K1372">
        <v>70</v>
      </c>
      <c r="M1372">
        <f t="shared" ref="M1372:M1373" si="879">+K1372*G1372</f>
        <v>420</v>
      </c>
      <c r="N1372">
        <f t="shared" ref="N1372:N1373" si="880">+I1372-M1372</f>
        <v>240</v>
      </c>
    </row>
    <row r="1373" spans="1:14" x14ac:dyDescent="0.25">
      <c r="A1373">
        <v>405</v>
      </c>
      <c r="B1373" s="1">
        <v>43916</v>
      </c>
      <c r="C1373" t="s">
        <v>276</v>
      </c>
      <c r="D1373" t="s">
        <v>15</v>
      </c>
      <c r="F1373" t="s">
        <v>261</v>
      </c>
      <c r="G1373">
        <f>2/8</f>
        <v>0.25</v>
      </c>
      <c r="H1373">
        <v>240</v>
      </c>
      <c r="I1373">
        <f t="shared" si="852"/>
        <v>60</v>
      </c>
      <c r="J1373" t="s">
        <v>163</v>
      </c>
      <c r="K1373">
        <v>204</v>
      </c>
      <c r="M1373">
        <f t="shared" si="879"/>
        <v>51</v>
      </c>
      <c r="N1373">
        <f t="shared" si="880"/>
        <v>9</v>
      </c>
    </row>
    <row r="1374" spans="1:14" x14ac:dyDescent="0.25">
      <c r="A1374">
        <v>406</v>
      </c>
      <c r="B1374" s="1">
        <v>43916</v>
      </c>
      <c r="C1374" t="s">
        <v>276</v>
      </c>
      <c r="D1374" t="s">
        <v>25</v>
      </c>
      <c r="F1374" t="s">
        <v>72</v>
      </c>
      <c r="G1374">
        <v>2</v>
      </c>
      <c r="H1374">
        <v>60</v>
      </c>
      <c r="I1374">
        <f t="shared" si="852"/>
        <v>120</v>
      </c>
      <c r="J1374" t="s">
        <v>165</v>
      </c>
      <c r="K1374">
        <f t="shared" ref="K1374" si="881">380/12</f>
        <v>31.666666666666668</v>
      </c>
      <c r="M1374">
        <f t="shared" ref="M1374:M1376" si="882">+K1374*G1374</f>
        <v>63.333333333333336</v>
      </c>
      <c r="N1374">
        <f t="shared" ref="N1374:N1376" si="883">+I1374-M1374</f>
        <v>56.666666666666664</v>
      </c>
    </row>
    <row r="1375" spans="1:14" x14ac:dyDescent="0.25">
      <c r="A1375">
        <v>407</v>
      </c>
      <c r="B1375" s="1">
        <v>43917</v>
      </c>
      <c r="C1375" t="s">
        <v>276</v>
      </c>
      <c r="D1375" t="s">
        <v>56</v>
      </c>
      <c r="F1375" t="s">
        <v>267</v>
      </c>
      <c r="G1375">
        <v>1</v>
      </c>
      <c r="H1375">
        <v>170</v>
      </c>
      <c r="I1375">
        <f t="shared" si="852"/>
        <v>170</v>
      </c>
      <c r="J1375" t="s">
        <v>163</v>
      </c>
      <c r="K1375">
        <v>121</v>
      </c>
      <c r="M1375">
        <f t="shared" si="882"/>
        <v>121</v>
      </c>
      <c r="N1375">
        <f t="shared" si="883"/>
        <v>49</v>
      </c>
    </row>
    <row r="1376" spans="1:14" x14ac:dyDescent="0.25">
      <c r="A1376">
        <v>408</v>
      </c>
      <c r="B1376" s="1">
        <v>43917</v>
      </c>
      <c r="C1376" t="s">
        <v>276</v>
      </c>
      <c r="D1376" t="s">
        <v>15</v>
      </c>
      <c r="F1376" t="s">
        <v>297</v>
      </c>
      <c r="G1376">
        <f>4/9</f>
        <v>0.44444444444444442</v>
      </c>
      <c r="H1376">
        <v>240</v>
      </c>
      <c r="I1376">
        <f t="shared" si="852"/>
        <v>106.66666666666666</v>
      </c>
      <c r="J1376" t="s">
        <v>163</v>
      </c>
      <c r="K1376">
        <v>207</v>
      </c>
      <c r="M1376">
        <f t="shared" si="882"/>
        <v>92</v>
      </c>
      <c r="N1376">
        <f t="shared" si="883"/>
        <v>14.666666666666657</v>
      </c>
    </row>
    <row r="1377" spans="1:14" x14ac:dyDescent="0.25">
      <c r="A1377">
        <v>409</v>
      </c>
      <c r="B1377" s="1">
        <v>43917</v>
      </c>
      <c r="C1377" t="s">
        <v>276</v>
      </c>
      <c r="D1377" t="s">
        <v>15</v>
      </c>
      <c r="F1377" t="s">
        <v>312</v>
      </c>
      <c r="G1377">
        <f>2/9</f>
        <v>0.22222222222222221</v>
      </c>
      <c r="H1377">
        <v>300</v>
      </c>
      <c r="I1377">
        <f t="shared" si="852"/>
        <v>66.666666666666657</v>
      </c>
      <c r="J1377" t="s">
        <v>13</v>
      </c>
      <c r="K1377">
        <v>280</v>
      </c>
      <c r="M1377">
        <f t="shared" ref="M1377:M1381" si="884">+K1377*G1377</f>
        <v>62.222222222222221</v>
      </c>
      <c r="N1377">
        <f t="shared" ref="N1377:N1381" si="885">+I1377-M1377</f>
        <v>4.4444444444444358</v>
      </c>
    </row>
    <row r="1378" spans="1:14" x14ac:dyDescent="0.25">
      <c r="A1378">
        <v>410</v>
      </c>
      <c r="B1378" s="1">
        <v>43917</v>
      </c>
      <c r="C1378" t="s">
        <v>276</v>
      </c>
      <c r="D1378" t="s">
        <v>15</v>
      </c>
      <c r="F1378" t="s">
        <v>296</v>
      </c>
      <c r="G1378">
        <v>2.15</v>
      </c>
      <c r="H1378">
        <v>240</v>
      </c>
      <c r="I1378">
        <f t="shared" si="852"/>
        <v>516</v>
      </c>
      <c r="J1378" t="s">
        <v>163</v>
      </c>
      <c r="K1378">
        <v>177</v>
      </c>
      <c r="M1378">
        <f t="shared" si="884"/>
        <v>380.55</v>
      </c>
      <c r="N1378">
        <f t="shared" si="885"/>
        <v>135.44999999999999</v>
      </c>
    </row>
    <row r="1379" spans="1:14" x14ac:dyDescent="0.25">
      <c r="A1379">
        <v>411</v>
      </c>
      <c r="B1379" s="1">
        <v>43917</v>
      </c>
      <c r="C1379" t="s">
        <v>276</v>
      </c>
      <c r="D1379" t="s">
        <v>56</v>
      </c>
      <c r="F1379" t="s">
        <v>267</v>
      </c>
      <c r="G1379">
        <v>1</v>
      </c>
      <c r="H1379">
        <v>170</v>
      </c>
      <c r="I1379">
        <f t="shared" si="852"/>
        <v>170</v>
      </c>
      <c r="J1379" t="s">
        <v>163</v>
      </c>
      <c r="K1379">
        <v>121</v>
      </c>
      <c r="M1379">
        <f t="shared" si="884"/>
        <v>121</v>
      </c>
      <c r="N1379">
        <f t="shared" si="885"/>
        <v>49</v>
      </c>
    </row>
    <row r="1380" spans="1:14" x14ac:dyDescent="0.25">
      <c r="A1380">
        <v>412</v>
      </c>
      <c r="B1380" s="1">
        <v>43917</v>
      </c>
      <c r="C1380" t="s">
        <v>276</v>
      </c>
      <c r="D1380" t="s">
        <v>15</v>
      </c>
      <c r="F1380" t="s">
        <v>292</v>
      </c>
      <c r="G1380">
        <v>14</v>
      </c>
      <c r="H1380">
        <v>230</v>
      </c>
      <c r="I1380">
        <f t="shared" si="852"/>
        <v>3220</v>
      </c>
      <c r="J1380" t="s">
        <v>163</v>
      </c>
      <c r="K1380">
        <v>177</v>
      </c>
      <c r="M1380">
        <f t="shared" si="884"/>
        <v>2478</v>
      </c>
      <c r="N1380">
        <f t="shared" si="885"/>
        <v>742</v>
      </c>
    </row>
    <row r="1381" spans="1:14" x14ac:dyDescent="0.25">
      <c r="A1381">
        <v>413</v>
      </c>
      <c r="B1381" s="1">
        <v>43917</v>
      </c>
      <c r="C1381" t="s">
        <v>276</v>
      </c>
      <c r="D1381" t="s">
        <v>56</v>
      </c>
      <c r="F1381" t="s">
        <v>267</v>
      </c>
      <c r="G1381">
        <v>6</v>
      </c>
      <c r="H1381">
        <v>170</v>
      </c>
      <c r="I1381">
        <f t="shared" si="852"/>
        <v>1020</v>
      </c>
      <c r="J1381" t="s">
        <v>163</v>
      </c>
      <c r="K1381">
        <v>121</v>
      </c>
      <c r="M1381">
        <f t="shared" si="884"/>
        <v>726</v>
      </c>
      <c r="N1381">
        <f t="shared" si="885"/>
        <v>294</v>
      </c>
    </row>
    <row r="1382" spans="1:14" x14ac:dyDescent="0.25">
      <c r="A1382">
        <v>414</v>
      </c>
      <c r="B1382" s="1">
        <v>43917</v>
      </c>
      <c r="C1382" t="s">
        <v>276</v>
      </c>
      <c r="D1382" t="s">
        <v>55</v>
      </c>
      <c r="F1382" t="s">
        <v>313</v>
      </c>
      <c r="G1382">
        <v>5</v>
      </c>
      <c r="H1382">
        <v>280</v>
      </c>
      <c r="I1382">
        <f t="shared" si="852"/>
        <v>1400</v>
      </c>
      <c r="J1382" t="s">
        <v>167</v>
      </c>
      <c r="K1382">
        <v>207</v>
      </c>
      <c r="M1382">
        <f t="shared" ref="M1382:M1384" si="886">+K1382*G1382</f>
        <v>1035</v>
      </c>
      <c r="N1382">
        <f t="shared" ref="N1382:N1384" si="887">+I1382-M1382</f>
        <v>365</v>
      </c>
    </row>
    <row r="1383" spans="1:14" x14ac:dyDescent="0.25">
      <c r="A1383">
        <v>415</v>
      </c>
      <c r="B1383" s="1">
        <v>43917</v>
      </c>
      <c r="C1383" t="s">
        <v>276</v>
      </c>
      <c r="D1383" t="s">
        <v>15</v>
      </c>
      <c r="F1383" t="s">
        <v>20</v>
      </c>
      <c r="G1383">
        <f>1.54/2</f>
        <v>0.77</v>
      </c>
      <c r="H1383">
        <v>240</v>
      </c>
      <c r="I1383">
        <f t="shared" si="852"/>
        <v>184.8</v>
      </c>
      <c r="J1383" t="s">
        <v>163</v>
      </c>
      <c r="K1383">
        <v>216</v>
      </c>
      <c r="M1383">
        <f t="shared" si="886"/>
        <v>166.32</v>
      </c>
      <c r="N1383">
        <f t="shared" si="887"/>
        <v>18.480000000000018</v>
      </c>
    </row>
    <row r="1384" spans="1:14" x14ac:dyDescent="0.25">
      <c r="A1384">
        <v>416</v>
      </c>
      <c r="B1384" s="1">
        <v>43918</v>
      </c>
      <c r="C1384" t="s">
        <v>276</v>
      </c>
      <c r="D1384" t="s">
        <v>15</v>
      </c>
      <c r="F1384" t="s">
        <v>252</v>
      </c>
      <c r="G1384">
        <v>1</v>
      </c>
      <c r="H1384">
        <v>280</v>
      </c>
      <c r="I1384">
        <f t="shared" si="852"/>
        <v>280</v>
      </c>
      <c r="J1384" t="s">
        <v>163</v>
      </c>
      <c r="K1384">
        <v>216</v>
      </c>
      <c r="M1384">
        <f t="shared" si="886"/>
        <v>216</v>
      </c>
      <c r="N1384">
        <f t="shared" si="887"/>
        <v>64</v>
      </c>
    </row>
    <row r="1385" spans="1:14" x14ac:dyDescent="0.25">
      <c r="A1385">
        <v>417</v>
      </c>
      <c r="B1385" s="1">
        <v>43918</v>
      </c>
      <c r="C1385" t="s">
        <v>276</v>
      </c>
      <c r="D1385" t="s">
        <v>55</v>
      </c>
      <c r="F1385" t="s">
        <v>313</v>
      </c>
      <c r="G1385">
        <v>0.5</v>
      </c>
      <c r="H1385">
        <v>280</v>
      </c>
      <c r="I1385">
        <f t="shared" si="852"/>
        <v>140</v>
      </c>
      <c r="J1385" t="s">
        <v>167</v>
      </c>
      <c r="K1385">
        <v>207</v>
      </c>
      <c r="M1385">
        <f t="shared" ref="M1385:M1386" si="888">+K1385*G1385</f>
        <v>103.5</v>
      </c>
      <c r="N1385">
        <f t="shared" ref="N1385:N1386" si="889">+I1385-M1385</f>
        <v>36.5</v>
      </c>
    </row>
    <row r="1386" spans="1:14" x14ac:dyDescent="0.25">
      <c r="A1386">
        <v>418</v>
      </c>
      <c r="B1386" s="1">
        <v>43918</v>
      </c>
      <c r="C1386" t="s">
        <v>276</v>
      </c>
      <c r="D1386" t="s">
        <v>25</v>
      </c>
      <c r="F1386" t="s">
        <v>218</v>
      </c>
      <c r="G1386">
        <v>1</v>
      </c>
      <c r="H1386">
        <v>100</v>
      </c>
      <c r="I1386">
        <f t="shared" si="852"/>
        <v>100</v>
      </c>
      <c r="J1386" t="s">
        <v>163</v>
      </c>
      <c r="K1386">
        <v>76</v>
      </c>
      <c r="M1386">
        <f t="shared" si="888"/>
        <v>76</v>
      </c>
      <c r="N1386">
        <f t="shared" si="889"/>
        <v>24</v>
      </c>
    </row>
    <row r="1387" spans="1:14" x14ac:dyDescent="0.25">
      <c r="A1387">
        <v>419</v>
      </c>
      <c r="B1387" s="1">
        <v>43918</v>
      </c>
      <c r="C1387" t="s">
        <v>276</v>
      </c>
      <c r="D1387" t="s">
        <v>55</v>
      </c>
      <c r="F1387" t="s">
        <v>97</v>
      </c>
      <c r="G1387">
        <v>6</v>
      </c>
      <c r="H1387">
        <v>280</v>
      </c>
      <c r="I1387">
        <f t="shared" si="852"/>
        <v>1680</v>
      </c>
      <c r="J1387" t="s">
        <v>167</v>
      </c>
      <c r="K1387">
        <v>207</v>
      </c>
      <c r="M1387">
        <f t="shared" ref="M1387:M1389" si="890">+K1387*G1387</f>
        <v>1242</v>
      </c>
      <c r="N1387">
        <f t="shared" ref="N1387:N1389" si="891">+I1387-M1387</f>
        <v>438</v>
      </c>
    </row>
    <row r="1388" spans="1:14" x14ac:dyDescent="0.25">
      <c r="A1388">
        <v>420</v>
      </c>
      <c r="B1388" s="1">
        <v>43918</v>
      </c>
      <c r="C1388" t="s">
        <v>276</v>
      </c>
      <c r="D1388" t="s">
        <v>55</v>
      </c>
      <c r="F1388" t="s">
        <v>97</v>
      </c>
      <c r="G1388">
        <v>1</v>
      </c>
      <c r="H1388">
        <v>280</v>
      </c>
      <c r="I1388">
        <f t="shared" si="852"/>
        <v>280</v>
      </c>
      <c r="J1388" t="s">
        <v>167</v>
      </c>
      <c r="K1388">
        <v>207</v>
      </c>
      <c r="M1388">
        <f t="shared" si="890"/>
        <v>207</v>
      </c>
      <c r="N1388">
        <f t="shared" si="891"/>
        <v>73</v>
      </c>
    </row>
    <row r="1389" spans="1:14" x14ac:dyDescent="0.25">
      <c r="A1389">
        <v>421</v>
      </c>
      <c r="B1389" s="1">
        <v>43918</v>
      </c>
      <c r="C1389" t="s">
        <v>276</v>
      </c>
      <c r="D1389" t="s">
        <v>15</v>
      </c>
      <c r="F1389" t="s">
        <v>31</v>
      </c>
      <c r="G1389">
        <v>5</v>
      </c>
      <c r="H1389">
        <v>280</v>
      </c>
      <c r="I1389">
        <f t="shared" si="852"/>
        <v>1400</v>
      </c>
      <c r="J1389" t="s">
        <v>163</v>
      </c>
      <c r="K1389">
        <v>216</v>
      </c>
      <c r="M1389">
        <f t="shared" si="890"/>
        <v>1080</v>
      </c>
      <c r="N1389">
        <f t="shared" si="891"/>
        <v>320</v>
      </c>
    </row>
    <row r="1390" spans="1:14" x14ac:dyDescent="0.25">
      <c r="A1390">
        <v>422</v>
      </c>
      <c r="B1390" s="1">
        <v>43918</v>
      </c>
      <c r="C1390" t="s">
        <v>276</v>
      </c>
      <c r="D1390" t="s">
        <v>25</v>
      </c>
      <c r="F1390" t="s">
        <v>61</v>
      </c>
      <c r="G1390">
        <v>1</v>
      </c>
      <c r="H1390">
        <v>60</v>
      </c>
      <c r="I1390">
        <f t="shared" si="852"/>
        <v>60</v>
      </c>
      <c r="J1390" t="s">
        <v>165</v>
      </c>
      <c r="K1390">
        <f t="shared" ref="K1390" si="892">380/12</f>
        <v>31.666666666666668</v>
      </c>
      <c r="M1390">
        <f t="shared" ref="M1390:M1392" si="893">+K1390*G1390</f>
        <v>31.666666666666668</v>
      </c>
      <c r="N1390">
        <f t="shared" ref="N1390:N1392" si="894">+I1390-M1390</f>
        <v>28.333333333333332</v>
      </c>
    </row>
    <row r="1391" spans="1:14" x14ac:dyDescent="0.25">
      <c r="A1391">
        <v>423</v>
      </c>
      <c r="B1391" s="1">
        <v>43918</v>
      </c>
      <c r="C1391" t="s">
        <v>276</v>
      </c>
      <c r="D1391" t="s">
        <v>15</v>
      </c>
      <c r="F1391" t="s">
        <v>153</v>
      </c>
      <c r="G1391">
        <f>22/9</f>
        <v>2.4444444444444446</v>
      </c>
      <c r="H1391">
        <v>288</v>
      </c>
      <c r="I1391">
        <f t="shared" si="852"/>
        <v>704</v>
      </c>
      <c r="J1391" t="s">
        <v>163</v>
      </c>
      <c r="K1391">
        <v>220</v>
      </c>
      <c r="M1391">
        <f t="shared" si="893"/>
        <v>537.77777777777783</v>
      </c>
      <c r="N1391">
        <f t="shared" si="894"/>
        <v>166.22222222222217</v>
      </c>
    </row>
    <row r="1392" spans="1:14" x14ac:dyDescent="0.25">
      <c r="A1392">
        <v>424</v>
      </c>
      <c r="B1392" s="1">
        <v>43918</v>
      </c>
      <c r="C1392" t="s">
        <v>276</v>
      </c>
      <c r="D1392" t="s">
        <v>15</v>
      </c>
      <c r="F1392" t="s">
        <v>297</v>
      </c>
      <c r="G1392">
        <v>3.06</v>
      </c>
      <c r="H1392">
        <v>240</v>
      </c>
      <c r="I1392">
        <f t="shared" si="852"/>
        <v>734.4</v>
      </c>
      <c r="J1392" t="s">
        <v>163</v>
      </c>
      <c r="K1392">
        <v>207</v>
      </c>
      <c r="M1392">
        <f t="shared" si="893"/>
        <v>633.41999999999996</v>
      </c>
      <c r="N1392">
        <f t="shared" si="894"/>
        <v>100.98000000000002</v>
      </c>
    </row>
    <row r="1393" spans="1:14" x14ac:dyDescent="0.25">
      <c r="A1393">
        <v>425</v>
      </c>
      <c r="B1393" s="1">
        <v>43918</v>
      </c>
      <c r="C1393" t="s">
        <v>276</v>
      </c>
      <c r="D1393" t="s">
        <v>56</v>
      </c>
      <c r="F1393" t="s">
        <v>38</v>
      </c>
      <c r="G1393">
        <v>4</v>
      </c>
      <c r="H1393">
        <v>110</v>
      </c>
      <c r="I1393">
        <f t="shared" si="852"/>
        <v>440</v>
      </c>
      <c r="J1393" t="s">
        <v>164</v>
      </c>
      <c r="K1393">
        <v>70</v>
      </c>
      <c r="M1393">
        <f t="shared" ref="M1393:M1395" si="895">+K1393*G1393</f>
        <v>280</v>
      </c>
      <c r="N1393">
        <f t="shared" ref="N1393:N1395" si="896">+I1393-M1393</f>
        <v>160</v>
      </c>
    </row>
    <row r="1394" spans="1:14" x14ac:dyDescent="0.25">
      <c r="A1394">
        <v>426</v>
      </c>
      <c r="B1394" s="1">
        <v>43918</v>
      </c>
      <c r="C1394" t="s">
        <v>276</v>
      </c>
      <c r="D1394" t="s">
        <v>25</v>
      </c>
      <c r="F1394" t="s">
        <v>72</v>
      </c>
      <c r="G1394">
        <v>2</v>
      </c>
      <c r="H1394">
        <v>60</v>
      </c>
      <c r="I1394">
        <f t="shared" si="852"/>
        <v>120</v>
      </c>
      <c r="J1394" t="s">
        <v>165</v>
      </c>
      <c r="K1394">
        <f t="shared" ref="K1394" si="897">380/12</f>
        <v>31.666666666666668</v>
      </c>
      <c r="M1394">
        <f t="shared" si="895"/>
        <v>63.333333333333336</v>
      </c>
      <c r="N1394">
        <f t="shared" si="896"/>
        <v>56.666666666666664</v>
      </c>
    </row>
    <row r="1395" spans="1:14" x14ac:dyDescent="0.25">
      <c r="A1395">
        <v>427</v>
      </c>
      <c r="B1395" s="1">
        <v>43918</v>
      </c>
      <c r="C1395" t="s">
        <v>276</v>
      </c>
      <c r="D1395" t="s">
        <v>15</v>
      </c>
      <c r="F1395" t="s">
        <v>261</v>
      </c>
      <c r="G1395">
        <f>1/8</f>
        <v>0.125</v>
      </c>
      <c r="H1395">
        <v>240</v>
      </c>
      <c r="I1395">
        <f t="shared" si="852"/>
        <v>30</v>
      </c>
      <c r="J1395" t="s">
        <v>163</v>
      </c>
      <c r="K1395">
        <v>204</v>
      </c>
      <c r="M1395">
        <f t="shared" si="895"/>
        <v>25.5</v>
      </c>
      <c r="N1395">
        <f t="shared" si="896"/>
        <v>4.5</v>
      </c>
    </row>
    <row r="1396" spans="1:14" x14ac:dyDescent="0.25">
      <c r="A1396">
        <v>428</v>
      </c>
      <c r="B1396" s="1">
        <v>43918</v>
      </c>
      <c r="C1396" t="s">
        <v>276</v>
      </c>
      <c r="D1396" t="s">
        <v>92</v>
      </c>
      <c r="F1396" t="s">
        <v>126</v>
      </c>
      <c r="G1396">
        <v>1</v>
      </c>
      <c r="H1396">
        <v>210</v>
      </c>
      <c r="I1396">
        <f t="shared" si="852"/>
        <v>210</v>
      </c>
      <c r="J1396" t="s">
        <v>166</v>
      </c>
      <c r="K1396">
        <v>130</v>
      </c>
      <c r="M1396">
        <f t="shared" ref="M1396" si="898">+K1396*G1396</f>
        <v>130</v>
      </c>
      <c r="N1396">
        <f t="shared" ref="N1396" si="899">+I1396-M1396</f>
        <v>80</v>
      </c>
    </row>
    <row r="1397" spans="1:14" x14ac:dyDescent="0.25">
      <c r="A1397">
        <v>429</v>
      </c>
      <c r="B1397" s="1">
        <v>43918</v>
      </c>
      <c r="C1397" t="s">
        <v>276</v>
      </c>
      <c r="D1397" t="s">
        <v>85</v>
      </c>
      <c r="F1397" t="s">
        <v>314</v>
      </c>
      <c r="G1397">
        <v>1</v>
      </c>
      <c r="H1397">
        <v>90</v>
      </c>
      <c r="I1397">
        <f t="shared" si="852"/>
        <v>90</v>
      </c>
      <c r="J1397" t="s">
        <v>166</v>
      </c>
    </row>
    <row r="1398" spans="1:14" x14ac:dyDescent="0.25">
      <c r="A1398">
        <v>430</v>
      </c>
      <c r="B1398" s="1">
        <v>43918</v>
      </c>
      <c r="C1398" t="s">
        <v>276</v>
      </c>
      <c r="D1398" t="s">
        <v>15</v>
      </c>
      <c r="F1398" t="s">
        <v>296</v>
      </c>
      <c r="G1398">
        <v>14</v>
      </c>
      <c r="H1398">
        <v>240</v>
      </c>
      <c r="I1398">
        <f t="shared" si="852"/>
        <v>3360</v>
      </c>
      <c r="J1398" t="s">
        <v>163</v>
      </c>
      <c r="K1398">
        <v>177</v>
      </c>
      <c r="M1398">
        <f t="shared" ref="M1398:M1402" si="900">+K1398*G1398</f>
        <v>2478</v>
      </c>
      <c r="N1398">
        <f t="shared" ref="N1398:N1402" si="901">+I1398-M1398</f>
        <v>882</v>
      </c>
    </row>
    <row r="1399" spans="1:14" x14ac:dyDescent="0.25">
      <c r="A1399">
        <v>431</v>
      </c>
      <c r="B1399" s="1">
        <v>43920</v>
      </c>
      <c r="C1399" t="s">
        <v>276</v>
      </c>
      <c r="D1399" t="s">
        <v>15</v>
      </c>
      <c r="F1399" t="s">
        <v>54</v>
      </c>
      <c r="G1399">
        <v>2</v>
      </c>
      <c r="H1399">
        <v>240</v>
      </c>
      <c r="I1399">
        <f t="shared" si="852"/>
        <v>480</v>
      </c>
      <c r="J1399" t="s">
        <v>163</v>
      </c>
      <c r="K1399">
        <v>214</v>
      </c>
      <c r="M1399">
        <f t="shared" si="900"/>
        <v>428</v>
      </c>
      <c r="N1399">
        <f t="shared" si="901"/>
        <v>52</v>
      </c>
    </row>
    <row r="1400" spans="1:14" x14ac:dyDescent="0.25">
      <c r="A1400">
        <v>432</v>
      </c>
      <c r="B1400" s="1">
        <v>43920</v>
      </c>
      <c r="C1400" t="s">
        <v>276</v>
      </c>
      <c r="D1400" t="s">
        <v>15</v>
      </c>
      <c r="F1400" t="s">
        <v>31</v>
      </c>
      <c r="G1400">
        <v>13.5</v>
      </c>
      <c r="H1400">
        <v>280</v>
      </c>
      <c r="I1400">
        <f t="shared" si="852"/>
        <v>3780</v>
      </c>
      <c r="J1400" t="s">
        <v>163</v>
      </c>
      <c r="K1400">
        <v>216</v>
      </c>
      <c r="M1400">
        <f t="shared" si="900"/>
        <v>2916</v>
      </c>
      <c r="N1400">
        <f t="shared" si="901"/>
        <v>864</v>
      </c>
    </row>
    <row r="1401" spans="1:14" x14ac:dyDescent="0.25">
      <c r="A1401">
        <v>433</v>
      </c>
      <c r="B1401" s="1">
        <v>43920</v>
      </c>
      <c r="C1401" t="s">
        <v>276</v>
      </c>
      <c r="D1401" t="s">
        <v>25</v>
      </c>
      <c r="F1401" t="s">
        <v>172</v>
      </c>
      <c r="G1401">
        <v>2</v>
      </c>
      <c r="H1401">
        <v>100</v>
      </c>
      <c r="I1401">
        <f t="shared" si="852"/>
        <v>200</v>
      </c>
      <c r="J1401" t="s">
        <v>163</v>
      </c>
      <c r="K1401">
        <v>69</v>
      </c>
      <c r="M1401">
        <f t="shared" si="900"/>
        <v>138</v>
      </c>
      <c r="N1401">
        <f t="shared" si="901"/>
        <v>62</v>
      </c>
    </row>
    <row r="1402" spans="1:14" x14ac:dyDescent="0.25">
      <c r="A1402">
        <v>434</v>
      </c>
      <c r="B1402" s="1">
        <v>43920</v>
      </c>
      <c r="C1402" t="s">
        <v>276</v>
      </c>
      <c r="D1402" t="s">
        <v>70</v>
      </c>
      <c r="F1402" t="s">
        <v>304</v>
      </c>
      <c r="G1402">
        <v>1</v>
      </c>
      <c r="H1402">
        <v>1800</v>
      </c>
      <c r="I1402">
        <f t="shared" si="852"/>
        <v>1800</v>
      </c>
      <c r="J1402" t="s">
        <v>163</v>
      </c>
      <c r="K1402">
        <v>1400</v>
      </c>
      <c r="M1402">
        <f t="shared" si="900"/>
        <v>1400</v>
      </c>
      <c r="N1402">
        <f t="shared" si="901"/>
        <v>400</v>
      </c>
    </row>
    <row r="1403" spans="1:14" x14ac:dyDescent="0.25">
      <c r="A1403">
        <v>435</v>
      </c>
      <c r="B1403" s="1">
        <v>43920</v>
      </c>
      <c r="C1403" t="s">
        <v>276</v>
      </c>
      <c r="D1403" t="s">
        <v>15</v>
      </c>
      <c r="F1403" t="s">
        <v>131</v>
      </c>
      <c r="G1403">
        <v>2</v>
      </c>
      <c r="H1403">
        <v>300</v>
      </c>
      <c r="I1403">
        <f t="shared" si="852"/>
        <v>600</v>
      </c>
      <c r="J1403" t="s">
        <v>13</v>
      </c>
      <c r="K1403">
        <v>280</v>
      </c>
      <c r="M1403">
        <f t="shared" ref="M1403:M1406" si="902">+K1403*G1403</f>
        <v>560</v>
      </c>
      <c r="N1403">
        <f t="shared" ref="N1403:N1406" si="903">+I1403-M1403</f>
        <v>40</v>
      </c>
    </row>
    <row r="1404" spans="1:14" x14ac:dyDescent="0.25">
      <c r="A1404">
        <v>436</v>
      </c>
      <c r="B1404" s="1">
        <v>43920</v>
      </c>
      <c r="C1404" t="s">
        <v>276</v>
      </c>
      <c r="D1404" t="s">
        <v>15</v>
      </c>
      <c r="F1404" t="s">
        <v>297</v>
      </c>
      <c r="G1404">
        <f>6/9</f>
        <v>0.66666666666666663</v>
      </c>
      <c r="H1404">
        <v>240</v>
      </c>
      <c r="I1404">
        <f t="shared" si="852"/>
        <v>160</v>
      </c>
      <c r="J1404" t="s">
        <v>163</v>
      </c>
      <c r="K1404">
        <v>207</v>
      </c>
      <c r="M1404">
        <f t="shared" si="902"/>
        <v>138</v>
      </c>
      <c r="N1404">
        <f t="shared" si="903"/>
        <v>22</v>
      </c>
    </row>
    <row r="1405" spans="1:14" x14ac:dyDescent="0.25">
      <c r="A1405">
        <v>437</v>
      </c>
      <c r="B1405" s="1">
        <v>43921</v>
      </c>
      <c r="C1405" t="s">
        <v>276</v>
      </c>
      <c r="D1405" t="s">
        <v>15</v>
      </c>
      <c r="F1405" t="s">
        <v>297</v>
      </c>
      <c r="G1405">
        <v>1</v>
      </c>
      <c r="H1405">
        <v>240</v>
      </c>
      <c r="I1405">
        <f t="shared" si="852"/>
        <v>240</v>
      </c>
      <c r="J1405" t="s">
        <v>163</v>
      </c>
      <c r="K1405">
        <v>207</v>
      </c>
      <c r="M1405">
        <f t="shared" si="902"/>
        <v>207</v>
      </c>
      <c r="N1405">
        <f t="shared" si="903"/>
        <v>33</v>
      </c>
    </row>
    <row r="1406" spans="1:14" x14ac:dyDescent="0.25">
      <c r="A1406">
        <v>438</v>
      </c>
      <c r="B1406" s="1">
        <v>43921</v>
      </c>
      <c r="C1406" t="s">
        <v>276</v>
      </c>
      <c r="D1406" t="s">
        <v>15</v>
      </c>
      <c r="F1406" t="s">
        <v>292</v>
      </c>
      <c r="G1406">
        <v>13.25</v>
      </c>
      <c r="H1406">
        <v>230</v>
      </c>
      <c r="I1406">
        <f t="shared" ref="I1406:I1469" si="904">+G1406*H1406</f>
        <v>3047.5</v>
      </c>
      <c r="J1406" t="s">
        <v>163</v>
      </c>
      <c r="K1406">
        <v>177</v>
      </c>
      <c r="M1406">
        <f t="shared" si="902"/>
        <v>2345.25</v>
      </c>
      <c r="N1406">
        <f t="shared" si="903"/>
        <v>702.25</v>
      </c>
    </row>
    <row r="1407" spans="1:14" x14ac:dyDescent="0.25">
      <c r="A1407">
        <v>439</v>
      </c>
      <c r="B1407" s="1">
        <v>43921</v>
      </c>
      <c r="C1407" t="s">
        <v>276</v>
      </c>
      <c r="D1407" t="s">
        <v>25</v>
      </c>
      <c r="F1407" t="s">
        <v>83</v>
      </c>
      <c r="G1407">
        <v>3</v>
      </c>
      <c r="H1407">
        <v>60</v>
      </c>
      <c r="I1407">
        <f t="shared" si="904"/>
        <v>180</v>
      </c>
      <c r="J1407" t="s">
        <v>165</v>
      </c>
      <c r="K1407">
        <f t="shared" ref="K1407" si="905">380/12</f>
        <v>31.666666666666668</v>
      </c>
      <c r="M1407">
        <f t="shared" ref="M1407:M1411" si="906">+K1407*G1407</f>
        <v>95</v>
      </c>
      <c r="N1407">
        <f t="shared" ref="N1407:N1411" si="907">+I1407-M1407</f>
        <v>85</v>
      </c>
    </row>
    <row r="1408" spans="1:14" x14ac:dyDescent="0.25">
      <c r="A1408">
        <v>440</v>
      </c>
      <c r="B1408" s="1">
        <v>43921</v>
      </c>
      <c r="C1408" t="s">
        <v>276</v>
      </c>
      <c r="D1408" t="s">
        <v>15</v>
      </c>
      <c r="F1408" t="s">
        <v>96</v>
      </c>
      <c r="G1408">
        <v>1</v>
      </c>
      <c r="H1408">
        <v>288</v>
      </c>
      <c r="I1408">
        <f t="shared" si="904"/>
        <v>288</v>
      </c>
      <c r="J1408" t="s">
        <v>163</v>
      </c>
      <c r="K1408">
        <v>182</v>
      </c>
      <c r="M1408">
        <f t="shared" si="906"/>
        <v>182</v>
      </c>
      <c r="N1408">
        <f t="shared" si="907"/>
        <v>106</v>
      </c>
    </row>
    <row r="1409" spans="1:14" x14ac:dyDescent="0.25">
      <c r="A1409">
        <v>441</v>
      </c>
      <c r="B1409" s="1">
        <v>43921</v>
      </c>
      <c r="C1409" t="s">
        <v>276</v>
      </c>
      <c r="D1409" t="s">
        <v>25</v>
      </c>
      <c r="F1409" t="s">
        <v>315</v>
      </c>
      <c r="G1409">
        <v>1</v>
      </c>
      <c r="H1409">
        <v>100</v>
      </c>
      <c r="I1409">
        <f t="shared" si="904"/>
        <v>100</v>
      </c>
      <c r="J1409" t="s">
        <v>163</v>
      </c>
      <c r="K1409">
        <v>52</v>
      </c>
      <c r="M1409">
        <f t="shared" si="906"/>
        <v>52</v>
      </c>
      <c r="N1409">
        <f t="shared" si="907"/>
        <v>48</v>
      </c>
    </row>
    <row r="1410" spans="1:14" x14ac:dyDescent="0.25">
      <c r="A1410">
        <v>442</v>
      </c>
      <c r="B1410" s="1">
        <v>43921</v>
      </c>
      <c r="C1410" t="s">
        <v>276</v>
      </c>
      <c r="D1410" t="s">
        <v>15</v>
      </c>
      <c r="F1410" t="s">
        <v>29</v>
      </c>
      <c r="G1410">
        <v>15</v>
      </c>
      <c r="H1410">
        <v>230</v>
      </c>
      <c r="I1410">
        <f t="shared" si="904"/>
        <v>3450</v>
      </c>
      <c r="J1410" t="s">
        <v>163</v>
      </c>
      <c r="K1410">
        <v>197</v>
      </c>
      <c r="M1410">
        <f t="shared" si="906"/>
        <v>2955</v>
      </c>
      <c r="N1410">
        <f t="shared" si="907"/>
        <v>495</v>
      </c>
    </row>
    <row r="1411" spans="1:14" x14ac:dyDescent="0.25">
      <c r="A1411">
        <v>443</v>
      </c>
      <c r="B1411" s="1">
        <v>43921</v>
      </c>
      <c r="C1411" t="s">
        <v>276</v>
      </c>
      <c r="D1411" t="s">
        <v>44</v>
      </c>
      <c r="F1411" t="s">
        <v>226</v>
      </c>
      <c r="G1411">
        <v>1</v>
      </c>
      <c r="H1411">
        <v>35</v>
      </c>
      <c r="I1411">
        <f t="shared" si="904"/>
        <v>35</v>
      </c>
      <c r="J1411" t="s">
        <v>166</v>
      </c>
      <c r="K1411">
        <v>26</v>
      </c>
      <c r="M1411">
        <f t="shared" si="906"/>
        <v>26</v>
      </c>
      <c r="N1411">
        <f t="shared" si="907"/>
        <v>9</v>
      </c>
    </row>
    <row r="1412" spans="1:14" x14ac:dyDescent="0.25">
      <c r="A1412">
        <v>444</v>
      </c>
      <c r="B1412" s="1">
        <v>43921</v>
      </c>
      <c r="C1412" t="s">
        <v>276</v>
      </c>
      <c r="D1412" t="s">
        <v>56</v>
      </c>
      <c r="F1412" t="s">
        <v>267</v>
      </c>
      <c r="G1412">
        <v>5</v>
      </c>
      <c r="H1412">
        <v>170</v>
      </c>
      <c r="I1412">
        <f t="shared" si="904"/>
        <v>850</v>
      </c>
      <c r="J1412" t="s">
        <v>163</v>
      </c>
      <c r="K1412">
        <v>121</v>
      </c>
      <c r="M1412">
        <f t="shared" ref="M1412:M1418" si="908">+K1412*G1412</f>
        <v>605</v>
      </c>
      <c r="N1412">
        <f t="shared" ref="N1412:N1418" si="909">+I1412-M1412</f>
        <v>245</v>
      </c>
    </row>
    <row r="1413" spans="1:14" x14ac:dyDescent="0.25">
      <c r="A1413">
        <v>445</v>
      </c>
      <c r="B1413" s="1">
        <v>43921</v>
      </c>
      <c r="C1413" t="s">
        <v>276</v>
      </c>
      <c r="D1413" t="s">
        <v>25</v>
      </c>
      <c r="F1413" t="s">
        <v>145</v>
      </c>
      <c r="G1413">
        <v>2</v>
      </c>
      <c r="H1413">
        <v>100</v>
      </c>
      <c r="I1413">
        <f t="shared" si="904"/>
        <v>200</v>
      </c>
      <c r="J1413" t="s">
        <v>163</v>
      </c>
      <c r="K1413">
        <v>69</v>
      </c>
      <c r="M1413">
        <f t="shared" si="908"/>
        <v>138</v>
      </c>
      <c r="N1413">
        <f t="shared" si="909"/>
        <v>62</v>
      </c>
    </row>
    <row r="1414" spans="1:14" x14ac:dyDescent="0.25">
      <c r="A1414">
        <v>446</v>
      </c>
      <c r="B1414" s="1">
        <v>43921</v>
      </c>
      <c r="C1414" t="s">
        <v>276</v>
      </c>
      <c r="D1414" t="s">
        <v>15</v>
      </c>
      <c r="F1414" t="s">
        <v>29</v>
      </c>
      <c r="G1414">
        <v>2</v>
      </c>
      <c r="H1414">
        <v>230</v>
      </c>
      <c r="I1414">
        <f t="shared" si="904"/>
        <v>460</v>
      </c>
      <c r="J1414" t="s">
        <v>163</v>
      </c>
      <c r="K1414">
        <v>197</v>
      </c>
      <c r="M1414">
        <f t="shared" si="908"/>
        <v>394</v>
      </c>
      <c r="N1414">
        <f t="shared" si="909"/>
        <v>66</v>
      </c>
    </row>
    <row r="1415" spans="1:14" x14ac:dyDescent="0.25">
      <c r="A1415">
        <v>447</v>
      </c>
      <c r="B1415" s="1">
        <v>43921</v>
      </c>
      <c r="C1415" t="s">
        <v>276</v>
      </c>
      <c r="D1415" t="s">
        <v>56</v>
      </c>
      <c r="F1415" t="s">
        <v>267</v>
      </c>
      <c r="G1415">
        <v>1</v>
      </c>
      <c r="H1415">
        <v>170</v>
      </c>
      <c r="I1415">
        <f t="shared" si="904"/>
        <v>170</v>
      </c>
      <c r="J1415" t="s">
        <v>163</v>
      </c>
      <c r="K1415">
        <v>121</v>
      </c>
      <c r="M1415">
        <f t="shared" si="908"/>
        <v>121</v>
      </c>
      <c r="N1415">
        <f t="shared" si="909"/>
        <v>49</v>
      </c>
    </row>
    <row r="1416" spans="1:14" x14ac:dyDescent="0.25">
      <c r="A1416">
        <v>448</v>
      </c>
      <c r="B1416" s="1">
        <v>43921</v>
      </c>
      <c r="C1416" t="s">
        <v>276</v>
      </c>
      <c r="D1416" t="s">
        <v>15</v>
      </c>
      <c r="F1416" t="s">
        <v>292</v>
      </c>
      <c r="G1416">
        <v>10.75</v>
      </c>
      <c r="H1416">
        <v>230</v>
      </c>
      <c r="I1416">
        <f t="shared" si="904"/>
        <v>2472.5</v>
      </c>
      <c r="J1416" t="s">
        <v>163</v>
      </c>
      <c r="K1416">
        <v>177</v>
      </c>
      <c r="M1416">
        <f t="shared" si="908"/>
        <v>1902.75</v>
      </c>
      <c r="N1416">
        <f t="shared" si="909"/>
        <v>569.75</v>
      </c>
    </row>
    <row r="1417" spans="1:14" x14ac:dyDescent="0.25">
      <c r="A1417">
        <v>449</v>
      </c>
      <c r="B1417" s="1">
        <v>43921</v>
      </c>
      <c r="C1417" t="s">
        <v>276</v>
      </c>
      <c r="D1417" t="s">
        <v>56</v>
      </c>
      <c r="F1417" t="s">
        <v>267</v>
      </c>
      <c r="G1417">
        <v>1</v>
      </c>
      <c r="H1417">
        <v>170</v>
      </c>
      <c r="I1417">
        <f t="shared" si="904"/>
        <v>170</v>
      </c>
      <c r="J1417" t="s">
        <v>163</v>
      </c>
      <c r="K1417">
        <v>121</v>
      </c>
      <c r="M1417">
        <f t="shared" si="908"/>
        <v>121</v>
      </c>
      <c r="N1417">
        <f t="shared" si="909"/>
        <v>49</v>
      </c>
    </row>
    <row r="1418" spans="1:14" x14ac:dyDescent="0.25">
      <c r="A1418">
        <v>450</v>
      </c>
      <c r="B1418" s="1">
        <v>43921</v>
      </c>
      <c r="C1418" t="s">
        <v>276</v>
      </c>
      <c r="D1418" t="s">
        <v>15</v>
      </c>
      <c r="F1418" t="s">
        <v>252</v>
      </c>
      <c r="G1418">
        <v>1</v>
      </c>
      <c r="H1418">
        <v>280</v>
      </c>
      <c r="I1418">
        <f t="shared" si="904"/>
        <v>280</v>
      </c>
      <c r="J1418" t="s">
        <v>163</v>
      </c>
      <c r="K1418">
        <v>216</v>
      </c>
      <c r="M1418">
        <f t="shared" si="908"/>
        <v>216</v>
      </c>
      <c r="N1418">
        <f t="shared" si="909"/>
        <v>64</v>
      </c>
    </row>
    <row r="1419" spans="1:14" x14ac:dyDescent="0.25">
      <c r="A1419">
        <v>1</v>
      </c>
      <c r="B1419" s="1">
        <v>43922</v>
      </c>
      <c r="C1419" t="s">
        <v>319</v>
      </c>
      <c r="D1419" t="s">
        <v>55</v>
      </c>
      <c r="F1419" t="s">
        <v>22</v>
      </c>
      <c r="G1419">
        <f>8/17</f>
        <v>0.47058823529411764</v>
      </c>
      <c r="H1419">
        <v>300</v>
      </c>
      <c r="I1419">
        <f t="shared" si="904"/>
        <v>141.1764705882353</v>
      </c>
      <c r="J1419" t="s">
        <v>13</v>
      </c>
      <c r="K1419">
        <v>280</v>
      </c>
      <c r="M1419">
        <f t="shared" ref="M1419:M1421" si="910">+K1419*G1419</f>
        <v>131.76470588235293</v>
      </c>
      <c r="N1419">
        <f t="shared" ref="N1419:N1421" si="911">+I1419-M1419</f>
        <v>9.4117647058823763</v>
      </c>
    </row>
    <row r="1420" spans="1:14" x14ac:dyDescent="0.25">
      <c r="A1420">
        <v>2</v>
      </c>
      <c r="B1420" s="1">
        <v>43922</v>
      </c>
      <c r="C1420" t="s">
        <v>319</v>
      </c>
      <c r="D1420" t="s">
        <v>15</v>
      </c>
      <c r="F1420" t="s">
        <v>29</v>
      </c>
      <c r="G1420">
        <v>20</v>
      </c>
      <c r="H1420">
        <v>230</v>
      </c>
      <c r="I1420">
        <f t="shared" si="904"/>
        <v>4600</v>
      </c>
      <c r="J1420" t="s">
        <v>163</v>
      </c>
      <c r="K1420">
        <v>197</v>
      </c>
      <c r="M1420">
        <f t="shared" si="910"/>
        <v>3940</v>
      </c>
      <c r="N1420">
        <f t="shared" si="911"/>
        <v>660</v>
      </c>
    </row>
    <row r="1421" spans="1:14" x14ac:dyDescent="0.25">
      <c r="A1421">
        <v>3</v>
      </c>
      <c r="B1421" s="1">
        <v>43922</v>
      </c>
      <c r="C1421" t="s">
        <v>319</v>
      </c>
      <c r="D1421" t="s">
        <v>56</v>
      </c>
      <c r="F1421" t="s">
        <v>267</v>
      </c>
      <c r="G1421">
        <v>10</v>
      </c>
      <c r="H1421">
        <v>170</v>
      </c>
      <c r="I1421">
        <f t="shared" si="904"/>
        <v>1700</v>
      </c>
      <c r="J1421" t="s">
        <v>163</v>
      </c>
      <c r="K1421">
        <v>121</v>
      </c>
      <c r="M1421">
        <f t="shared" si="910"/>
        <v>1210</v>
      </c>
      <c r="N1421">
        <f t="shared" si="911"/>
        <v>490</v>
      </c>
    </row>
    <row r="1422" spans="1:14" x14ac:dyDescent="0.25">
      <c r="A1422">
        <v>4</v>
      </c>
      <c r="B1422" s="1">
        <v>43922</v>
      </c>
      <c r="C1422" t="s">
        <v>319</v>
      </c>
      <c r="D1422" t="s">
        <v>24</v>
      </c>
      <c r="F1422" t="s">
        <v>24</v>
      </c>
      <c r="G1422">
        <v>3.2</v>
      </c>
      <c r="H1422">
        <v>100</v>
      </c>
      <c r="I1422">
        <f t="shared" si="904"/>
        <v>320</v>
      </c>
      <c r="J1422" t="s">
        <v>186</v>
      </c>
      <c r="K1422">
        <v>68.22</v>
      </c>
      <c r="M1422">
        <f t="shared" ref="M1422:M1424" si="912">+K1422*G1422</f>
        <v>218.304</v>
      </c>
      <c r="N1422">
        <f t="shared" ref="N1422:N1424" si="913">+I1422-M1422</f>
        <v>101.696</v>
      </c>
    </row>
    <row r="1423" spans="1:14" x14ac:dyDescent="0.25">
      <c r="A1423">
        <v>5</v>
      </c>
      <c r="B1423" s="1">
        <v>43922</v>
      </c>
      <c r="C1423" t="s">
        <v>319</v>
      </c>
      <c r="D1423" t="s">
        <v>25</v>
      </c>
      <c r="F1423" t="s">
        <v>169</v>
      </c>
      <c r="G1423">
        <v>3</v>
      </c>
      <c r="H1423">
        <v>100</v>
      </c>
      <c r="I1423">
        <f t="shared" si="904"/>
        <v>300</v>
      </c>
      <c r="J1423" t="s">
        <v>163</v>
      </c>
      <c r="K1423">
        <v>69</v>
      </c>
      <c r="M1423">
        <f t="shared" si="912"/>
        <v>207</v>
      </c>
      <c r="N1423">
        <f t="shared" si="913"/>
        <v>93</v>
      </c>
    </row>
    <row r="1424" spans="1:14" x14ac:dyDescent="0.25">
      <c r="A1424">
        <v>6</v>
      </c>
      <c r="B1424" s="1">
        <v>43922</v>
      </c>
      <c r="C1424" t="s">
        <v>319</v>
      </c>
      <c r="D1424" t="s">
        <v>44</v>
      </c>
      <c r="F1424" t="s">
        <v>77</v>
      </c>
      <c r="G1424">
        <v>2</v>
      </c>
      <c r="H1424">
        <v>35</v>
      </c>
      <c r="I1424">
        <f t="shared" si="904"/>
        <v>70</v>
      </c>
      <c r="J1424" t="s">
        <v>166</v>
      </c>
      <c r="K1424">
        <v>26</v>
      </c>
      <c r="M1424">
        <f t="shared" si="912"/>
        <v>52</v>
      </c>
      <c r="N1424">
        <f t="shared" si="913"/>
        <v>18</v>
      </c>
    </row>
    <row r="1425" spans="1:14" x14ac:dyDescent="0.25">
      <c r="A1425">
        <v>7</v>
      </c>
      <c r="B1425" s="1">
        <v>43922</v>
      </c>
      <c r="C1425" t="s">
        <v>319</v>
      </c>
      <c r="D1425" t="s">
        <v>15</v>
      </c>
      <c r="F1425" t="s">
        <v>29</v>
      </c>
      <c r="G1425">
        <v>5</v>
      </c>
      <c r="H1425">
        <v>230</v>
      </c>
      <c r="I1425">
        <f t="shared" si="904"/>
        <v>1150</v>
      </c>
      <c r="J1425" t="s">
        <v>163</v>
      </c>
      <c r="K1425">
        <v>197</v>
      </c>
      <c r="M1425">
        <f t="shared" ref="M1425:M1429" si="914">+K1425*G1425</f>
        <v>985</v>
      </c>
      <c r="N1425">
        <f t="shared" ref="N1425:N1429" si="915">+I1425-M1425</f>
        <v>165</v>
      </c>
    </row>
    <row r="1426" spans="1:14" x14ac:dyDescent="0.25">
      <c r="A1426">
        <v>8</v>
      </c>
      <c r="B1426" s="1">
        <v>43922</v>
      </c>
      <c r="C1426" t="s">
        <v>319</v>
      </c>
      <c r="D1426" t="s">
        <v>25</v>
      </c>
      <c r="F1426" t="s">
        <v>172</v>
      </c>
      <c r="G1426">
        <v>2</v>
      </c>
      <c r="H1426">
        <v>100</v>
      </c>
      <c r="I1426">
        <f t="shared" si="904"/>
        <v>200</v>
      </c>
      <c r="J1426" t="s">
        <v>163</v>
      </c>
      <c r="K1426">
        <v>69</v>
      </c>
      <c r="M1426">
        <f t="shared" si="914"/>
        <v>138</v>
      </c>
      <c r="N1426">
        <f t="shared" si="915"/>
        <v>62</v>
      </c>
    </row>
    <row r="1427" spans="1:14" x14ac:dyDescent="0.25">
      <c r="A1427">
        <v>9</v>
      </c>
      <c r="B1427" s="1">
        <v>43922</v>
      </c>
      <c r="C1427" t="s">
        <v>319</v>
      </c>
      <c r="D1427" t="s">
        <v>25</v>
      </c>
      <c r="F1427" t="s">
        <v>218</v>
      </c>
      <c r="G1427">
        <v>2</v>
      </c>
      <c r="H1427">
        <v>100</v>
      </c>
      <c r="I1427">
        <f t="shared" si="904"/>
        <v>200</v>
      </c>
      <c r="J1427" t="s">
        <v>163</v>
      </c>
      <c r="K1427">
        <v>52</v>
      </c>
      <c r="M1427">
        <f t="shared" si="914"/>
        <v>104</v>
      </c>
      <c r="N1427">
        <f t="shared" si="915"/>
        <v>96</v>
      </c>
    </row>
    <row r="1428" spans="1:14" x14ac:dyDescent="0.25">
      <c r="A1428">
        <v>10</v>
      </c>
      <c r="B1428" s="1">
        <v>43922</v>
      </c>
      <c r="C1428" t="s">
        <v>319</v>
      </c>
      <c r="D1428" t="s">
        <v>56</v>
      </c>
      <c r="F1428" t="s">
        <v>267</v>
      </c>
      <c r="G1428">
        <v>1</v>
      </c>
      <c r="H1428">
        <v>170</v>
      </c>
      <c r="I1428">
        <f t="shared" si="904"/>
        <v>170</v>
      </c>
      <c r="J1428" t="s">
        <v>163</v>
      </c>
      <c r="K1428">
        <v>121</v>
      </c>
      <c r="M1428">
        <f t="shared" si="914"/>
        <v>121</v>
      </c>
      <c r="N1428">
        <f t="shared" si="915"/>
        <v>49</v>
      </c>
    </row>
    <row r="1429" spans="1:14" x14ac:dyDescent="0.25">
      <c r="A1429">
        <v>11</v>
      </c>
      <c r="B1429" s="1">
        <v>43922</v>
      </c>
      <c r="C1429" t="s">
        <v>319</v>
      </c>
      <c r="D1429" t="s">
        <v>15</v>
      </c>
      <c r="F1429" t="s">
        <v>54</v>
      </c>
      <c r="G1429">
        <v>11</v>
      </c>
      <c r="H1429">
        <v>240</v>
      </c>
      <c r="I1429">
        <f t="shared" si="904"/>
        <v>2640</v>
      </c>
      <c r="J1429" t="s">
        <v>163</v>
      </c>
      <c r="K1429">
        <v>214</v>
      </c>
      <c r="M1429">
        <f t="shared" si="914"/>
        <v>2354</v>
      </c>
      <c r="N1429">
        <f t="shared" si="915"/>
        <v>286</v>
      </c>
    </row>
    <row r="1430" spans="1:14" x14ac:dyDescent="0.25">
      <c r="A1430">
        <v>12</v>
      </c>
      <c r="B1430" s="1">
        <v>43922</v>
      </c>
      <c r="C1430" t="s">
        <v>319</v>
      </c>
      <c r="D1430" t="s">
        <v>55</v>
      </c>
      <c r="F1430" t="s">
        <v>97</v>
      </c>
      <c r="G1430">
        <v>2</v>
      </c>
      <c r="H1430">
        <v>280</v>
      </c>
      <c r="I1430">
        <f t="shared" si="904"/>
        <v>560</v>
      </c>
      <c r="J1430" t="s">
        <v>167</v>
      </c>
      <c r="K1430">
        <v>207</v>
      </c>
      <c r="M1430">
        <f t="shared" ref="M1430:M1432" si="916">+K1430*G1430</f>
        <v>414</v>
      </c>
      <c r="N1430">
        <f t="shared" ref="N1430:N1432" si="917">+I1430-M1430</f>
        <v>146</v>
      </c>
    </row>
    <row r="1431" spans="1:14" x14ac:dyDescent="0.25">
      <c r="A1431">
        <v>13</v>
      </c>
      <c r="B1431" s="1">
        <v>43922</v>
      </c>
      <c r="C1431" t="s">
        <v>319</v>
      </c>
      <c r="D1431" t="s">
        <v>55</v>
      </c>
      <c r="F1431" t="s">
        <v>149</v>
      </c>
      <c r="G1431">
        <v>4</v>
      </c>
      <c r="H1431">
        <v>300</v>
      </c>
      <c r="I1431">
        <f t="shared" si="904"/>
        <v>1200</v>
      </c>
      <c r="J1431" t="s">
        <v>167</v>
      </c>
      <c r="K1431">
        <v>268</v>
      </c>
      <c r="M1431">
        <f t="shared" si="916"/>
        <v>1072</v>
      </c>
      <c r="N1431">
        <f t="shared" si="917"/>
        <v>128</v>
      </c>
    </row>
    <row r="1432" spans="1:14" x14ac:dyDescent="0.25">
      <c r="A1432">
        <v>14</v>
      </c>
      <c r="B1432" s="1">
        <v>43922</v>
      </c>
      <c r="C1432" t="s">
        <v>319</v>
      </c>
      <c r="D1432" t="s">
        <v>55</v>
      </c>
      <c r="F1432" t="s">
        <v>270</v>
      </c>
      <c r="G1432">
        <v>2</v>
      </c>
      <c r="H1432">
        <v>300</v>
      </c>
      <c r="I1432">
        <f t="shared" si="904"/>
        <v>600</v>
      </c>
      <c r="J1432" t="s">
        <v>167</v>
      </c>
      <c r="K1432">
        <v>268</v>
      </c>
      <c r="M1432">
        <f t="shared" si="916"/>
        <v>536</v>
      </c>
      <c r="N1432">
        <f t="shared" si="917"/>
        <v>64</v>
      </c>
    </row>
    <row r="1433" spans="1:14" x14ac:dyDescent="0.25">
      <c r="A1433">
        <v>15</v>
      </c>
      <c r="B1433" s="1">
        <v>43922</v>
      </c>
      <c r="C1433" t="s">
        <v>319</v>
      </c>
      <c r="D1433" t="s">
        <v>55</v>
      </c>
      <c r="F1433" t="s">
        <v>22</v>
      </c>
      <c r="G1433">
        <v>0.5</v>
      </c>
      <c r="H1433">
        <v>300</v>
      </c>
      <c r="I1433">
        <f t="shared" si="904"/>
        <v>150</v>
      </c>
      <c r="J1433" t="s">
        <v>13</v>
      </c>
      <c r="K1433">
        <v>280</v>
      </c>
      <c r="M1433">
        <f t="shared" ref="M1433:M1435" si="918">+K1433*G1433</f>
        <v>140</v>
      </c>
      <c r="N1433">
        <f t="shared" ref="N1433:N1435" si="919">+I1433-M1433</f>
        <v>10</v>
      </c>
    </row>
    <row r="1434" spans="1:14" x14ac:dyDescent="0.25">
      <c r="A1434">
        <v>16</v>
      </c>
      <c r="B1434" s="1">
        <v>43922</v>
      </c>
      <c r="C1434" t="s">
        <v>319</v>
      </c>
      <c r="D1434" t="s">
        <v>15</v>
      </c>
      <c r="F1434" t="s">
        <v>54</v>
      </c>
      <c r="G1434">
        <v>18</v>
      </c>
      <c r="H1434">
        <v>238</v>
      </c>
      <c r="I1434">
        <f t="shared" si="904"/>
        <v>4284</v>
      </c>
      <c r="J1434" t="s">
        <v>163</v>
      </c>
      <c r="K1434">
        <v>214</v>
      </c>
      <c r="M1434">
        <f t="shared" si="918"/>
        <v>3852</v>
      </c>
      <c r="N1434">
        <f t="shared" si="919"/>
        <v>432</v>
      </c>
    </row>
    <row r="1435" spans="1:14" x14ac:dyDescent="0.25">
      <c r="A1435">
        <v>17</v>
      </c>
      <c r="B1435" s="1">
        <v>43922</v>
      </c>
      <c r="C1435" t="s">
        <v>319</v>
      </c>
      <c r="D1435" t="s">
        <v>44</v>
      </c>
      <c r="F1435" t="s">
        <v>226</v>
      </c>
      <c r="G1435">
        <v>1</v>
      </c>
      <c r="H1435">
        <v>35</v>
      </c>
      <c r="I1435">
        <f t="shared" si="904"/>
        <v>35</v>
      </c>
      <c r="J1435" t="s">
        <v>166</v>
      </c>
      <c r="K1435">
        <v>26</v>
      </c>
      <c r="M1435">
        <f t="shared" si="918"/>
        <v>26</v>
      </c>
      <c r="N1435">
        <f t="shared" si="919"/>
        <v>9</v>
      </c>
    </row>
    <row r="1436" spans="1:14" x14ac:dyDescent="0.25">
      <c r="A1436">
        <v>18</v>
      </c>
      <c r="B1436" s="1">
        <v>43922</v>
      </c>
      <c r="C1436" t="s">
        <v>319</v>
      </c>
      <c r="D1436" t="s">
        <v>25</v>
      </c>
      <c r="F1436" t="s">
        <v>305</v>
      </c>
      <c r="G1436">
        <v>1</v>
      </c>
      <c r="H1436">
        <v>60</v>
      </c>
      <c r="I1436">
        <f t="shared" si="904"/>
        <v>60</v>
      </c>
      <c r="J1436" t="s">
        <v>165</v>
      </c>
      <c r="K1436">
        <f t="shared" ref="K1436" si="920">380/12</f>
        <v>31.666666666666668</v>
      </c>
      <c r="M1436">
        <f t="shared" ref="M1436:M1437" si="921">+K1436*G1436</f>
        <v>31.666666666666668</v>
      </c>
      <c r="N1436">
        <f t="shared" ref="N1436:N1437" si="922">+I1436-M1436</f>
        <v>28.333333333333332</v>
      </c>
    </row>
    <row r="1437" spans="1:14" x14ac:dyDescent="0.25">
      <c r="A1437">
        <v>19</v>
      </c>
      <c r="B1437" s="1">
        <v>43922</v>
      </c>
      <c r="C1437" t="s">
        <v>319</v>
      </c>
      <c r="D1437" t="s">
        <v>56</v>
      </c>
      <c r="F1437" t="s">
        <v>267</v>
      </c>
      <c r="G1437">
        <v>2</v>
      </c>
      <c r="H1437">
        <v>170</v>
      </c>
      <c r="I1437">
        <f t="shared" si="904"/>
        <v>340</v>
      </c>
      <c r="J1437" t="s">
        <v>163</v>
      </c>
      <c r="K1437">
        <v>121</v>
      </c>
      <c r="M1437">
        <f t="shared" si="921"/>
        <v>242</v>
      </c>
      <c r="N1437">
        <f t="shared" si="922"/>
        <v>98</v>
      </c>
    </row>
    <row r="1438" spans="1:14" x14ac:dyDescent="0.25">
      <c r="A1438">
        <v>20</v>
      </c>
      <c r="B1438" s="1">
        <v>43922</v>
      </c>
      <c r="C1438" t="s">
        <v>319</v>
      </c>
      <c r="D1438" t="s">
        <v>23</v>
      </c>
      <c r="F1438" t="s">
        <v>316</v>
      </c>
      <c r="G1438">
        <v>1</v>
      </c>
      <c r="H1438">
        <v>60</v>
      </c>
      <c r="I1438">
        <f t="shared" si="904"/>
        <v>60</v>
      </c>
      <c r="J1438" t="s">
        <v>187</v>
      </c>
      <c r="K1438">
        <v>40</v>
      </c>
      <c r="M1438">
        <f t="shared" ref="M1438:M1439" si="923">+K1438*G1438</f>
        <v>40</v>
      </c>
      <c r="N1438">
        <f t="shared" ref="N1438:N1439" si="924">+I1438-M1438</f>
        <v>20</v>
      </c>
    </row>
    <row r="1439" spans="1:14" x14ac:dyDescent="0.25">
      <c r="A1439">
        <v>21</v>
      </c>
      <c r="B1439" s="1">
        <v>43923</v>
      </c>
      <c r="C1439" t="s">
        <v>319</v>
      </c>
      <c r="D1439" t="s">
        <v>15</v>
      </c>
      <c r="F1439" t="s">
        <v>297</v>
      </c>
      <c r="G1439">
        <v>8</v>
      </c>
      <c r="H1439">
        <v>240</v>
      </c>
      <c r="I1439">
        <f t="shared" si="904"/>
        <v>1920</v>
      </c>
      <c r="J1439" t="s">
        <v>163</v>
      </c>
      <c r="K1439">
        <v>207</v>
      </c>
      <c r="M1439">
        <f t="shared" si="923"/>
        <v>1656</v>
      </c>
      <c r="N1439">
        <f t="shared" si="924"/>
        <v>264</v>
      </c>
    </row>
    <row r="1440" spans="1:14" x14ac:dyDescent="0.25">
      <c r="A1440">
        <v>22</v>
      </c>
      <c r="B1440" s="1">
        <v>43923</v>
      </c>
      <c r="C1440" t="s">
        <v>319</v>
      </c>
      <c r="D1440" t="s">
        <v>55</v>
      </c>
      <c r="F1440" t="s">
        <v>97</v>
      </c>
      <c r="G1440">
        <f>17/16</f>
        <v>1.0625</v>
      </c>
      <c r="H1440">
        <v>280</v>
      </c>
      <c r="I1440">
        <f t="shared" si="904"/>
        <v>297.5</v>
      </c>
      <c r="J1440" t="s">
        <v>167</v>
      </c>
      <c r="K1440">
        <v>207</v>
      </c>
      <c r="M1440">
        <f t="shared" ref="M1440:M1447" si="925">+K1440*G1440</f>
        <v>219.9375</v>
      </c>
      <c r="N1440">
        <f t="shared" ref="N1440:N1447" si="926">+I1440-M1440</f>
        <v>77.5625</v>
      </c>
    </row>
    <row r="1441" spans="1:14" x14ac:dyDescent="0.25">
      <c r="A1441">
        <v>23</v>
      </c>
      <c r="B1441" s="1">
        <v>43923</v>
      </c>
      <c r="C1441" t="s">
        <v>319</v>
      </c>
      <c r="D1441" t="s">
        <v>55</v>
      </c>
      <c r="F1441" t="s">
        <v>97</v>
      </c>
      <c r="G1441">
        <f>1/16</f>
        <v>6.25E-2</v>
      </c>
      <c r="H1441">
        <v>280</v>
      </c>
      <c r="I1441">
        <f t="shared" si="904"/>
        <v>17.5</v>
      </c>
      <c r="J1441" t="s">
        <v>167</v>
      </c>
      <c r="K1441">
        <v>207</v>
      </c>
      <c r="M1441">
        <f t="shared" si="925"/>
        <v>12.9375</v>
      </c>
      <c r="N1441">
        <f t="shared" si="926"/>
        <v>4.5625</v>
      </c>
    </row>
    <row r="1442" spans="1:14" x14ac:dyDescent="0.25">
      <c r="A1442">
        <v>24</v>
      </c>
      <c r="B1442" s="1">
        <v>43923</v>
      </c>
      <c r="C1442" t="s">
        <v>319</v>
      </c>
      <c r="D1442" t="s">
        <v>55</v>
      </c>
      <c r="F1442" t="s">
        <v>149</v>
      </c>
      <c r="G1442">
        <v>2.25</v>
      </c>
      <c r="H1442">
        <v>300</v>
      </c>
      <c r="I1442">
        <f t="shared" si="904"/>
        <v>675</v>
      </c>
      <c r="J1442" t="s">
        <v>167</v>
      </c>
      <c r="K1442">
        <v>268</v>
      </c>
      <c r="M1442">
        <f t="shared" si="925"/>
        <v>603</v>
      </c>
      <c r="N1442">
        <f t="shared" si="926"/>
        <v>72</v>
      </c>
    </row>
    <row r="1443" spans="1:14" x14ac:dyDescent="0.25">
      <c r="A1443">
        <v>25</v>
      </c>
      <c r="B1443" s="1">
        <v>43923</v>
      </c>
      <c r="C1443" t="s">
        <v>319</v>
      </c>
      <c r="D1443" t="s">
        <v>15</v>
      </c>
      <c r="F1443" t="s">
        <v>54</v>
      </c>
      <c r="G1443">
        <v>2.31</v>
      </c>
      <c r="H1443">
        <v>240</v>
      </c>
      <c r="I1443">
        <f t="shared" si="904"/>
        <v>554.4</v>
      </c>
      <c r="J1443" t="s">
        <v>163</v>
      </c>
      <c r="K1443">
        <v>214</v>
      </c>
      <c r="M1443">
        <f t="shared" si="925"/>
        <v>494.34000000000003</v>
      </c>
      <c r="N1443">
        <f t="shared" si="926"/>
        <v>60.059999999999945</v>
      </c>
    </row>
    <row r="1444" spans="1:14" x14ac:dyDescent="0.25">
      <c r="A1444">
        <v>26</v>
      </c>
      <c r="B1444" s="1">
        <v>43923</v>
      </c>
      <c r="C1444" t="s">
        <v>319</v>
      </c>
      <c r="D1444" t="s">
        <v>15</v>
      </c>
      <c r="F1444" t="s">
        <v>80</v>
      </c>
      <c r="G1444">
        <v>5</v>
      </c>
      <c r="H1444">
        <v>235</v>
      </c>
      <c r="I1444">
        <f t="shared" si="904"/>
        <v>1175</v>
      </c>
      <c r="J1444" t="s">
        <v>163</v>
      </c>
      <c r="K1444">
        <v>213</v>
      </c>
      <c r="M1444">
        <f t="shared" si="925"/>
        <v>1065</v>
      </c>
      <c r="N1444">
        <f t="shared" si="926"/>
        <v>110</v>
      </c>
    </row>
    <row r="1445" spans="1:14" x14ac:dyDescent="0.25">
      <c r="A1445">
        <v>27</v>
      </c>
      <c r="B1445" s="1">
        <v>43923</v>
      </c>
      <c r="C1445" t="s">
        <v>319</v>
      </c>
      <c r="D1445" t="s">
        <v>56</v>
      </c>
      <c r="F1445" t="s">
        <v>267</v>
      </c>
      <c r="G1445">
        <v>2</v>
      </c>
      <c r="H1445">
        <v>170</v>
      </c>
      <c r="I1445">
        <f t="shared" si="904"/>
        <v>340</v>
      </c>
      <c r="J1445" t="s">
        <v>163</v>
      </c>
      <c r="K1445">
        <v>121</v>
      </c>
      <c r="M1445">
        <f t="shared" si="925"/>
        <v>242</v>
      </c>
      <c r="N1445">
        <f t="shared" si="926"/>
        <v>98</v>
      </c>
    </row>
    <row r="1446" spans="1:14" x14ac:dyDescent="0.25">
      <c r="A1446">
        <v>28</v>
      </c>
      <c r="B1446" s="1">
        <v>43923</v>
      </c>
      <c r="C1446" t="s">
        <v>319</v>
      </c>
      <c r="D1446" t="s">
        <v>25</v>
      </c>
      <c r="F1446" t="s">
        <v>145</v>
      </c>
      <c r="G1446">
        <v>1</v>
      </c>
      <c r="H1446">
        <v>100</v>
      </c>
      <c r="I1446">
        <f t="shared" si="904"/>
        <v>100</v>
      </c>
      <c r="J1446" t="s">
        <v>163</v>
      </c>
      <c r="K1446">
        <v>69</v>
      </c>
      <c r="M1446">
        <f t="shared" si="925"/>
        <v>69</v>
      </c>
      <c r="N1446">
        <f t="shared" si="926"/>
        <v>31</v>
      </c>
    </row>
    <row r="1447" spans="1:14" x14ac:dyDescent="0.25">
      <c r="A1447">
        <v>29</v>
      </c>
      <c r="B1447" s="1">
        <v>43923</v>
      </c>
      <c r="C1447" t="s">
        <v>319</v>
      </c>
      <c r="D1447" t="s">
        <v>15</v>
      </c>
      <c r="F1447" t="s">
        <v>54</v>
      </c>
      <c r="G1447">
        <v>1</v>
      </c>
      <c r="H1447">
        <v>240</v>
      </c>
      <c r="I1447">
        <f t="shared" si="904"/>
        <v>240</v>
      </c>
      <c r="J1447" t="s">
        <v>163</v>
      </c>
      <c r="K1447">
        <v>214</v>
      </c>
      <c r="M1447">
        <f t="shared" si="925"/>
        <v>214</v>
      </c>
      <c r="N1447">
        <f t="shared" si="926"/>
        <v>26</v>
      </c>
    </row>
    <row r="1448" spans="1:14" x14ac:dyDescent="0.25">
      <c r="A1448">
        <v>30</v>
      </c>
      <c r="B1448" s="1">
        <v>43923</v>
      </c>
      <c r="C1448" t="s">
        <v>319</v>
      </c>
      <c r="D1448" t="s">
        <v>56</v>
      </c>
      <c r="F1448" t="s">
        <v>38</v>
      </c>
      <c r="G1448">
        <v>1</v>
      </c>
      <c r="H1448">
        <v>110</v>
      </c>
      <c r="I1448">
        <f t="shared" si="904"/>
        <v>110</v>
      </c>
      <c r="J1448" t="s">
        <v>164</v>
      </c>
      <c r="K1448">
        <v>70</v>
      </c>
      <c r="M1448">
        <f t="shared" ref="M1448:M1455" si="927">+K1448*G1448</f>
        <v>70</v>
      </c>
      <c r="N1448">
        <f t="shared" ref="N1448:N1455" si="928">+I1448-M1448</f>
        <v>40</v>
      </c>
    </row>
    <row r="1449" spans="1:14" x14ac:dyDescent="0.25">
      <c r="A1449">
        <v>31</v>
      </c>
      <c r="B1449" s="1">
        <v>43923</v>
      </c>
      <c r="C1449" t="s">
        <v>319</v>
      </c>
      <c r="D1449" t="s">
        <v>25</v>
      </c>
      <c r="F1449" t="s">
        <v>83</v>
      </c>
      <c r="G1449">
        <v>1</v>
      </c>
      <c r="H1449">
        <v>60</v>
      </c>
      <c r="I1449">
        <f t="shared" si="904"/>
        <v>60</v>
      </c>
      <c r="J1449" t="s">
        <v>165</v>
      </c>
      <c r="K1449">
        <f t="shared" ref="K1449" si="929">380/12</f>
        <v>31.666666666666668</v>
      </c>
      <c r="M1449">
        <f t="shared" si="927"/>
        <v>31.666666666666668</v>
      </c>
      <c r="N1449">
        <f t="shared" si="928"/>
        <v>28.333333333333332</v>
      </c>
    </row>
    <row r="1450" spans="1:14" x14ac:dyDescent="0.25">
      <c r="A1450">
        <v>32</v>
      </c>
      <c r="B1450" s="1">
        <v>43923</v>
      </c>
      <c r="C1450" t="s">
        <v>319</v>
      </c>
      <c r="D1450" t="s">
        <v>15</v>
      </c>
      <c r="F1450" t="s">
        <v>297</v>
      </c>
      <c r="G1450">
        <v>5.5</v>
      </c>
      <c r="H1450">
        <v>240</v>
      </c>
      <c r="I1450">
        <f t="shared" si="904"/>
        <v>1320</v>
      </c>
      <c r="J1450" t="s">
        <v>163</v>
      </c>
      <c r="K1450">
        <v>207</v>
      </c>
      <c r="M1450">
        <f t="shared" si="927"/>
        <v>1138.5</v>
      </c>
      <c r="N1450">
        <f t="shared" si="928"/>
        <v>181.5</v>
      </c>
    </row>
    <row r="1451" spans="1:14" x14ac:dyDescent="0.25">
      <c r="A1451">
        <v>33</v>
      </c>
      <c r="B1451" s="1">
        <v>43923</v>
      </c>
      <c r="C1451" t="s">
        <v>319</v>
      </c>
      <c r="D1451" t="s">
        <v>15</v>
      </c>
      <c r="F1451" t="s">
        <v>296</v>
      </c>
      <c r="G1451">
        <v>5</v>
      </c>
      <c r="H1451">
        <v>240</v>
      </c>
      <c r="I1451">
        <f t="shared" si="904"/>
        <v>1200</v>
      </c>
      <c r="J1451" t="s">
        <v>163</v>
      </c>
      <c r="K1451">
        <v>177</v>
      </c>
      <c r="M1451">
        <f t="shared" si="927"/>
        <v>885</v>
      </c>
      <c r="N1451">
        <f t="shared" si="928"/>
        <v>315</v>
      </c>
    </row>
    <row r="1452" spans="1:14" x14ac:dyDescent="0.25">
      <c r="A1452">
        <v>34</v>
      </c>
      <c r="B1452" s="1">
        <v>43923</v>
      </c>
      <c r="C1452" t="s">
        <v>319</v>
      </c>
      <c r="D1452" t="s">
        <v>15</v>
      </c>
      <c r="F1452" t="s">
        <v>31</v>
      </c>
      <c r="G1452">
        <v>6.07</v>
      </c>
      <c r="H1452">
        <v>280</v>
      </c>
      <c r="I1452">
        <f t="shared" si="904"/>
        <v>1699.6000000000001</v>
      </c>
      <c r="J1452" t="s">
        <v>163</v>
      </c>
      <c r="K1452">
        <v>216</v>
      </c>
      <c r="M1452">
        <f t="shared" si="927"/>
        <v>1311.1200000000001</v>
      </c>
      <c r="N1452">
        <f t="shared" si="928"/>
        <v>388.48</v>
      </c>
    </row>
    <row r="1453" spans="1:14" x14ac:dyDescent="0.25">
      <c r="A1453">
        <v>35</v>
      </c>
      <c r="B1453" s="1">
        <v>43923</v>
      </c>
      <c r="C1453" t="s">
        <v>319</v>
      </c>
      <c r="D1453" t="s">
        <v>15</v>
      </c>
      <c r="F1453" t="s">
        <v>297</v>
      </c>
      <c r="G1453">
        <f>3/9</f>
        <v>0.33333333333333331</v>
      </c>
      <c r="H1453">
        <v>240</v>
      </c>
      <c r="I1453">
        <f t="shared" si="904"/>
        <v>80</v>
      </c>
      <c r="J1453" t="s">
        <v>163</v>
      </c>
      <c r="K1453">
        <v>207</v>
      </c>
      <c r="M1453">
        <f t="shared" si="927"/>
        <v>69</v>
      </c>
      <c r="N1453">
        <f t="shared" si="928"/>
        <v>11</v>
      </c>
    </row>
    <row r="1454" spans="1:14" x14ac:dyDescent="0.25">
      <c r="A1454">
        <v>36</v>
      </c>
      <c r="B1454" s="1">
        <v>43923</v>
      </c>
      <c r="C1454" t="s">
        <v>319</v>
      </c>
      <c r="D1454" t="s">
        <v>15</v>
      </c>
      <c r="F1454" t="s">
        <v>252</v>
      </c>
      <c r="G1454">
        <f>4/9</f>
        <v>0.44444444444444442</v>
      </c>
      <c r="H1454">
        <v>280</v>
      </c>
      <c r="I1454">
        <f t="shared" si="904"/>
        <v>124.44444444444444</v>
      </c>
      <c r="J1454" t="s">
        <v>163</v>
      </c>
      <c r="K1454">
        <v>216</v>
      </c>
      <c r="M1454">
        <f t="shared" si="927"/>
        <v>96</v>
      </c>
      <c r="N1454">
        <f t="shared" si="928"/>
        <v>28.444444444444443</v>
      </c>
    </row>
    <row r="1455" spans="1:14" x14ac:dyDescent="0.25">
      <c r="A1455">
        <v>37</v>
      </c>
      <c r="B1455" s="1">
        <v>43923</v>
      </c>
      <c r="C1455" t="s">
        <v>319</v>
      </c>
      <c r="D1455" t="s">
        <v>15</v>
      </c>
      <c r="F1455" t="s">
        <v>29</v>
      </c>
      <c r="G1455">
        <v>2</v>
      </c>
      <c r="H1455">
        <v>230</v>
      </c>
      <c r="I1455">
        <f t="shared" si="904"/>
        <v>460</v>
      </c>
      <c r="J1455" t="s">
        <v>163</v>
      </c>
      <c r="K1455">
        <v>197</v>
      </c>
      <c r="M1455">
        <f t="shared" si="927"/>
        <v>394</v>
      </c>
      <c r="N1455">
        <f t="shared" si="928"/>
        <v>66</v>
      </c>
    </row>
    <row r="1456" spans="1:14" x14ac:dyDescent="0.25">
      <c r="A1456">
        <v>38</v>
      </c>
      <c r="B1456" s="1">
        <v>43923</v>
      </c>
      <c r="C1456" t="s">
        <v>319</v>
      </c>
      <c r="D1456" t="s">
        <v>56</v>
      </c>
      <c r="F1456" t="s">
        <v>38</v>
      </c>
      <c r="G1456">
        <v>1</v>
      </c>
      <c r="H1456">
        <v>110</v>
      </c>
      <c r="I1456">
        <f t="shared" si="904"/>
        <v>110</v>
      </c>
      <c r="J1456" t="s">
        <v>164</v>
      </c>
      <c r="K1456">
        <v>70</v>
      </c>
      <c r="M1456">
        <f t="shared" ref="M1456:M1457" si="930">+K1456*G1456</f>
        <v>70</v>
      </c>
      <c r="N1456">
        <f t="shared" ref="N1456:N1457" si="931">+I1456-M1456</f>
        <v>40</v>
      </c>
    </row>
    <row r="1457" spans="1:14" x14ac:dyDescent="0.25">
      <c r="A1457">
        <v>39</v>
      </c>
      <c r="B1457" s="1">
        <v>43923</v>
      </c>
      <c r="C1457" t="s">
        <v>319</v>
      </c>
      <c r="D1457" t="s">
        <v>15</v>
      </c>
      <c r="F1457" t="s">
        <v>29</v>
      </c>
      <c r="G1457">
        <f>4/9</f>
        <v>0.44444444444444442</v>
      </c>
      <c r="H1457">
        <v>230</v>
      </c>
      <c r="I1457">
        <f t="shared" si="904"/>
        <v>102.22222222222221</v>
      </c>
      <c r="J1457" t="s">
        <v>163</v>
      </c>
      <c r="K1457">
        <v>197</v>
      </c>
      <c r="M1457">
        <f t="shared" si="930"/>
        <v>87.555555555555557</v>
      </c>
      <c r="N1457">
        <f t="shared" si="931"/>
        <v>14.666666666666657</v>
      </c>
    </row>
    <row r="1458" spans="1:14" x14ac:dyDescent="0.25">
      <c r="A1458">
        <v>40</v>
      </c>
      <c r="B1458" s="1">
        <v>43924</v>
      </c>
      <c r="C1458" t="s">
        <v>319</v>
      </c>
      <c r="D1458" t="s">
        <v>55</v>
      </c>
      <c r="F1458" t="s">
        <v>149</v>
      </c>
      <c r="G1458">
        <v>17</v>
      </c>
      <c r="H1458">
        <v>300</v>
      </c>
      <c r="I1458">
        <f t="shared" si="904"/>
        <v>5100</v>
      </c>
      <c r="J1458" t="s">
        <v>13</v>
      </c>
      <c r="K1458">
        <v>280</v>
      </c>
      <c r="M1458">
        <f t="shared" ref="M1458:M1465" si="932">+K1458*G1458</f>
        <v>4760</v>
      </c>
      <c r="N1458">
        <f t="shared" ref="N1458:N1465" si="933">+I1458-M1458</f>
        <v>340</v>
      </c>
    </row>
    <row r="1459" spans="1:14" x14ac:dyDescent="0.25">
      <c r="A1459">
        <v>41</v>
      </c>
      <c r="B1459" s="1">
        <v>43924</v>
      </c>
      <c r="C1459" t="s">
        <v>319</v>
      </c>
      <c r="D1459" t="s">
        <v>15</v>
      </c>
      <c r="F1459" t="s">
        <v>29</v>
      </c>
      <c r="G1459">
        <v>3</v>
      </c>
      <c r="H1459">
        <v>230</v>
      </c>
      <c r="I1459">
        <f t="shared" si="904"/>
        <v>690</v>
      </c>
      <c r="J1459" t="s">
        <v>163</v>
      </c>
      <c r="K1459">
        <v>197</v>
      </c>
      <c r="M1459">
        <f t="shared" si="932"/>
        <v>591</v>
      </c>
      <c r="N1459">
        <f t="shared" si="933"/>
        <v>99</v>
      </c>
    </row>
    <row r="1460" spans="1:14" x14ac:dyDescent="0.25">
      <c r="A1460">
        <v>42</v>
      </c>
      <c r="B1460" s="1">
        <v>43924</v>
      </c>
      <c r="C1460" t="s">
        <v>319</v>
      </c>
      <c r="D1460" t="s">
        <v>56</v>
      </c>
      <c r="F1460" t="s">
        <v>267</v>
      </c>
      <c r="G1460">
        <v>2</v>
      </c>
      <c r="H1460">
        <v>170</v>
      </c>
      <c r="I1460">
        <f t="shared" si="904"/>
        <v>340</v>
      </c>
      <c r="J1460" t="s">
        <v>163</v>
      </c>
      <c r="K1460">
        <v>121</v>
      </c>
      <c r="M1460">
        <f t="shared" si="932"/>
        <v>242</v>
      </c>
      <c r="N1460">
        <f t="shared" si="933"/>
        <v>98</v>
      </c>
    </row>
    <row r="1461" spans="1:14" x14ac:dyDescent="0.25">
      <c r="A1461">
        <v>43</v>
      </c>
      <c r="B1461" s="1">
        <v>43924</v>
      </c>
      <c r="C1461" t="s">
        <v>319</v>
      </c>
      <c r="D1461" t="s">
        <v>15</v>
      </c>
      <c r="F1461" t="s">
        <v>52</v>
      </c>
      <c r="G1461">
        <v>2.5</v>
      </c>
      <c r="H1461">
        <v>240</v>
      </c>
      <c r="I1461">
        <f t="shared" si="904"/>
        <v>600</v>
      </c>
      <c r="J1461" t="s">
        <v>163</v>
      </c>
      <c r="K1461">
        <v>201</v>
      </c>
      <c r="M1461">
        <f t="shared" si="932"/>
        <v>502.5</v>
      </c>
      <c r="N1461">
        <f t="shared" si="933"/>
        <v>97.5</v>
      </c>
    </row>
    <row r="1462" spans="1:14" x14ac:dyDescent="0.25">
      <c r="A1462">
        <v>44</v>
      </c>
      <c r="B1462" s="1">
        <v>43924</v>
      </c>
      <c r="C1462" t="s">
        <v>319</v>
      </c>
      <c r="D1462" t="s">
        <v>15</v>
      </c>
      <c r="F1462" t="s">
        <v>297</v>
      </c>
      <c r="G1462">
        <v>2</v>
      </c>
      <c r="H1462">
        <v>240</v>
      </c>
      <c r="I1462">
        <f t="shared" si="904"/>
        <v>480</v>
      </c>
      <c r="J1462" t="s">
        <v>163</v>
      </c>
      <c r="K1462">
        <v>207</v>
      </c>
      <c r="M1462">
        <f t="shared" si="932"/>
        <v>414</v>
      </c>
      <c r="N1462">
        <f t="shared" si="933"/>
        <v>66</v>
      </c>
    </row>
    <row r="1463" spans="1:14" x14ac:dyDescent="0.25">
      <c r="A1463">
        <v>45</v>
      </c>
      <c r="B1463" s="1">
        <v>43924</v>
      </c>
      <c r="C1463" t="s">
        <v>319</v>
      </c>
      <c r="D1463" t="s">
        <v>25</v>
      </c>
      <c r="F1463" t="s">
        <v>218</v>
      </c>
      <c r="G1463">
        <v>1</v>
      </c>
      <c r="H1463">
        <v>100</v>
      </c>
      <c r="I1463">
        <f t="shared" si="904"/>
        <v>100</v>
      </c>
      <c r="J1463" t="s">
        <v>163</v>
      </c>
      <c r="K1463">
        <v>52</v>
      </c>
      <c r="M1463">
        <f t="shared" si="932"/>
        <v>52</v>
      </c>
      <c r="N1463">
        <f t="shared" si="933"/>
        <v>48</v>
      </c>
    </row>
    <row r="1464" spans="1:14" x14ac:dyDescent="0.25">
      <c r="A1464">
        <v>46</v>
      </c>
      <c r="B1464" s="1">
        <v>43924</v>
      </c>
      <c r="C1464" t="s">
        <v>319</v>
      </c>
      <c r="D1464" t="s">
        <v>25</v>
      </c>
      <c r="F1464" t="s">
        <v>173</v>
      </c>
      <c r="G1464">
        <v>1</v>
      </c>
      <c r="H1464">
        <v>100</v>
      </c>
      <c r="I1464">
        <f t="shared" si="904"/>
        <v>100</v>
      </c>
      <c r="J1464" t="s">
        <v>163</v>
      </c>
      <c r="K1464">
        <v>69</v>
      </c>
      <c r="M1464">
        <f t="shared" si="932"/>
        <v>69</v>
      </c>
      <c r="N1464">
        <f t="shared" si="933"/>
        <v>31</v>
      </c>
    </row>
    <row r="1465" spans="1:14" x14ac:dyDescent="0.25">
      <c r="A1465">
        <v>47</v>
      </c>
      <c r="B1465" s="1">
        <v>43924</v>
      </c>
      <c r="C1465" t="s">
        <v>319</v>
      </c>
      <c r="D1465" t="s">
        <v>15</v>
      </c>
      <c r="F1465" t="s">
        <v>54</v>
      </c>
      <c r="G1465">
        <v>100</v>
      </c>
      <c r="H1465">
        <v>240</v>
      </c>
      <c r="I1465">
        <f t="shared" si="904"/>
        <v>24000</v>
      </c>
      <c r="J1465" t="s">
        <v>163</v>
      </c>
      <c r="K1465">
        <v>214</v>
      </c>
      <c r="M1465">
        <f t="shared" si="932"/>
        <v>21400</v>
      </c>
      <c r="N1465">
        <f t="shared" si="933"/>
        <v>2600</v>
      </c>
    </row>
    <row r="1466" spans="1:14" x14ac:dyDescent="0.25">
      <c r="A1466">
        <v>48</v>
      </c>
      <c r="B1466" s="1">
        <v>43924</v>
      </c>
      <c r="C1466" t="s">
        <v>319</v>
      </c>
      <c r="D1466" t="s">
        <v>55</v>
      </c>
      <c r="F1466" t="s">
        <v>22</v>
      </c>
      <c r="G1466">
        <v>15</v>
      </c>
      <c r="H1466">
        <v>300</v>
      </c>
      <c r="I1466">
        <f t="shared" si="904"/>
        <v>4500</v>
      </c>
      <c r="J1466" t="s">
        <v>167</v>
      </c>
      <c r="K1466">
        <v>268</v>
      </c>
      <c r="M1466">
        <f t="shared" ref="M1466:M1467" si="934">+K1466*G1466</f>
        <v>4020</v>
      </c>
      <c r="N1466">
        <f t="shared" ref="N1466:N1467" si="935">+I1466-M1466</f>
        <v>480</v>
      </c>
    </row>
    <row r="1467" spans="1:14" x14ac:dyDescent="0.25">
      <c r="A1467">
        <v>49</v>
      </c>
      <c r="B1467" s="1">
        <v>43924</v>
      </c>
      <c r="C1467" t="s">
        <v>319</v>
      </c>
      <c r="D1467" t="s">
        <v>44</v>
      </c>
      <c r="F1467" t="s">
        <v>77</v>
      </c>
      <c r="G1467">
        <v>2</v>
      </c>
      <c r="H1467">
        <v>35</v>
      </c>
      <c r="I1467">
        <f t="shared" si="904"/>
        <v>70</v>
      </c>
      <c r="J1467" t="s">
        <v>166</v>
      </c>
      <c r="K1467">
        <v>26</v>
      </c>
      <c r="M1467">
        <f t="shared" si="934"/>
        <v>52</v>
      </c>
      <c r="N1467">
        <f t="shared" si="935"/>
        <v>18</v>
      </c>
    </row>
    <row r="1468" spans="1:14" x14ac:dyDescent="0.25">
      <c r="A1468">
        <v>50</v>
      </c>
      <c r="B1468" s="1">
        <v>43924</v>
      </c>
      <c r="C1468" t="s">
        <v>319</v>
      </c>
      <c r="D1468" t="s">
        <v>55</v>
      </c>
      <c r="F1468" t="s">
        <v>313</v>
      </c>
      <c r="G1468">
        <f>1/16</f>
        <v>6.25E-2</v>
      </c>
      <c r="H1468">
        <v>280</v>
      </c>
      <c r="I1468">
        <f t="shared" si="904"/>
        <v>17.5</v>
      </c>
      <c r="J1468" t="s">
        <v>167</v>
      </c>
      <c r="K1468">
        <v>207</v>
      </c>
      <c r="M1468">
        <f t="shared" ref="M1468" si="936">+K1468*G1468</f>
        <v>12.9375</v>
      </c>
      <c r="N1468">
        <f t="shared" ref="N1468" si="937">+I1468-M1468</f>
        <v>4.5625</v>
      </c>
    </row>
    <row r="1469" spans="1:14" x14ac:dyDescent="0.25">
      <c r="A1469">
        <v>51</v>
      </c>
      <c r="B1469" s="1">
        <v>43924</v>
      </c>
      <c r="C1469" t="s">
        <v>319</v>
      </c>
      <c r="D1469" t="s">
        <v>55</v>
      </c>
      <c r="F1469" t="s">
        <v>22</v>
      </c>
      <c r="G1469">
        <f>5/17</f>
        <v>0.29411764705882354</v>
      </c>
      <c r="H1469">
        <v>300</v>
      </c>
      <c r="I1469">
        <f t="shared" si="904"/>
        <v>88.235294117647058</v>
      </c>
      <c r="J1469" t="s">
        <v>13</v>
      </c>
      <c r="K1469">
        <v>280</v>
      </c>
      <c r="M1469">
        <f t="shared" ref="M1469" si="938">+K1469*G1469</f>
        <v>82.352941176470594</v>
      </c>
      <c r="N1469">
        <f t="shared" ref="N1469" si="939">+I1469-M1469</f>
        <v>5.8823529411764639</v>
      </c>
    </row>
    <row r="1470" spans="1:14" x14ac:dyDescent="0.25">
      <c r="A1470">
        <v>52</v>
      </c>
      <c r="B1470" s="1">
        <v>43924</v>
      </c>
      <c r="C1470" t="s">
        <v>319</v>
      </c>
      <c r="D1470" t="s">
        <v>25</v>
      </c>
      <c r="F1470" t="s">
        <v>148</v>
      </c>
      <c r="G1470">
        <v>1</v>
      </c>
      <c r="H1470">
        <v>60</v>
      </c>
      <c r="I1470">
        <f t="shared" ref="I1470:I1533" si="940">+G1470*H1470</f>
        <v>60</v>
      </c>
      <c r="J1470" t="s">
        <v>165</v>
      </c>
      <c r="K1470">
        <f t="shared" ref="K1470:K1471" si="941">380/12</f>
        <v>31.666666666666668</v>
      </c>
      <c r="M1470">
        <f t="shared" ref="M1470:M1472" si="942">+K1470*G1470</f>
        <v>31.666666666666668</v>
      </c>
      <c r="N1470">
        <f t="shared" ref="N1470:N1472" si="943">+I1470-M1470</f>
        <v>28.333333333333332</v>
      </c>
    </row>
    <row r="1471" spans="1:14" x14ac:dyDescent="0.25">
      <c r="A1471">
        <v>53</v>
      </c>
      <c r="B1471" s="1">
        <v>43924</v>
      </c>
      <c r="C1471" t="s">
        <v>319</v>
      </c>
      <c r="D1471" t="s">
        <v>25</v>
      </c>
      <c r="F1471" t="s">
        <v>130</v>
      </c>
      <c r="G1471">
        <v>1</v>
      </c>
      <c r="H1471">
        <v>60</v>
      </c>
      <c r="I1471">
        <f t="shared" si="940"/>
        <v>60</v>
      </c>
      <c r="J1471" t="s">
        <v>165</v>
      </c>
      <c r="K1471">
        <f t="shared" si="941"/>
        <v>31.666666666666668</v>
      </c>
      <c r="M1471">
        <f t="shared" si="942"/>
        <v>31.666666666666668</v>
      </c>
      <c r="N1471">
        <f t="shared" si="943"/>
        <v>28.333333333333332</v>
      </c>
    </row>
    <row r="1472" spans="1:14" x14ac:dyDescent="0.25">
      <c r="A1472">
        <v>54</v>
      </c>
      <c r="B1472" s="1">
        <v>43924</v>
      </c>
      <c r="C1472" t="s">
        <v>319</v>
      </c>
      <c r="D1472" t="s">
        <v>23</v>
      </c>
      <c r="F1472" t="s">
        <v>66</v>
      </c>
      <c r="G1472">
        <v>1</v>
      </c>
      <c r="H1472">
        <v>120</v>
      </c>
      <c r="I1472">
        <f t="shared" si="940"/>
        <v>120</v>
      </c>
      <c r="J1472" t="s">
        <v>187</v>
      </c>
      <c r="K1472">
        <v>88</v>
      </c>
      <c r="M1472">
        <f t="shared" si="942"/>
        <v>88</v>
      </c>
      <c r="N1472">
        <f t="shared" si="943"/>
        <v>32</v>
      </c>
    </row>
    <row r="1473" spans="1:14" x14ac:dyDescent="0.25">
      <c r="A1473">
        <v>55</v>
      </c>
      <c r="B1473" s="1">
        <v>43925</v>
      </c>
      <c r="C1473" t="s">
        <v>319</v>
      </c>
      <c r="D1473" t="s">
        <v>56</v>
      </c>
      <c r="F1473" t="s">
        <v>38</v>
      </c>
      <c r="G1473">
        <v>2</v>
      </c>
      <c r="H1473">
        <v>110</v>
      </c>
      <c r="I1473">
        <f t="shared" si="940"/>
        <v>220</v>
      </c>
      <c r="J1473" t="s">
        <v>164</v>
      </c>
      <c r="K1473">
        <v>70</v>
      </c>
      <c r="M1473">
        <f t="shared" ref="M1473:M1475" si="944">+K1473*G1473</f>
        <v>140</v>
      </c>
      <c r="N1473">
        <f t="shared" ref="N1473:N1475" si="945">+I1473-M1473</f>
        <v>80</v>
      </c>
    </row>
    <row r="1474" spans="1:14" x14ac:dyDescent="0.25">
      <c r="A1474">
        <v>56</v>
      </c>
      <c r="B1474" s="1">
        <v>43925</v>
      </c>
      <c r="C1474" t="s">
        <v>319</v>
      </c>
      <c r="D1474" t="s">
        <v>15</v>
      </c>
      <c r="F1474" t="s">
        <v>29</v>
      </c>
      <c r="G1474">
        <v>1</v>
      </c>
      <c r="H1474">
        <v>230</v>
      </c>
      <c r="I1474">
        <f t="shared" si="940"/>
        <v>230</v>
      </c>
      <c r="J1474" t="s">
        <v>163</v>
      </c>
      <c r="K1474">
        <v>197</v>
      </c>
      <c r="M1474">
        <f t="shared" si="944"/>
        <v>197</v>
      </c>
      <c r="N1474">
        <f t="shared" si="945"/>
        <v>33</v>
      </c>
    </row>
    <row r="1475" spans="1:14" x14ac:dyDescent="0.25">
      <c r="A1475">
        <v>57</v>
      </c>
      <c r="B1475" s="1">
        <v>43925</v>
      </c>
      <c r="C1475" t="s">
        <v>319</v>
      </c>
      <c r="D1475" t="s">
        <v>15</v>
      </c>
      <c r="F1475" t="s">
        <v>296</v>
      </c>
      <c r="G1475">
        <v>2.15</v>
      </c>
      <c r="H1475">
        <v>240</v>
      </c>
      <c r="I1475">
        <f t="shared" si="940"/>
        <v>516</v>
      </c>
      <c r="J1475" t="s">
        <v>163</v>
      </c>
      <c r="K1475">
        <v>177</v>
      </c>
      <c r="M1475">
        <f t="shared" si="944"/>
        <v>380.55</v>
      </c>
      <c r="N1475">
        <f t="shared" si="945"/>
        <v>135.44999999999999</v>
      </c>
    </row>
    <row r="1476" spans="1:14" x14ac:dyDescent="0.25">
      <c r="A1476">
        <v>58</v>
      </c>
      <c r="B1476" s="1">
        <v>43925</v>
      </c>
      <c r="C1476" t="s">
        <v>319</v>
      </c>
      <c r="D1476" t="s">
        <v>25</v>
      </c>
      <c r="F1476" t="s">
        <v>71</v>
      </c>
      <c r="G1476">
        <v>3</v>
      </c>
      <c r="H1476">
        <v>60</v>
      </c>
      <c r="I1476">
        <f t="shared" si="940"/>
        <v>180</v>
      </c>
      <c r="J1476" t="s">
        <v>165</v>
      </c>
      <c r="K1476">
        <f t="shared" ref="K1476" si="946">380/12</f>
        <v>31.666666666666668</v>
      </c>
      <c r="M1476">
        <f t="shared" ref="M1476:M1477" si="947">+K1476*G1476</f>
        <v>95</v>
      </c>
      <c r="N1476">
        <f t="shared" ref="N1476:N1477" si="948">+I1476-M1476</f>
        <v>85</v>
      </c>
    </row>
    <row r="1477" spans="1:14" x14ac:dyDescent="0.25">
      <c r="A1477">
        <v>59</v>
      </c>
      <c r="B1477" s="1">
        <v>43925</v>
      </c>
      <c r="C1477" t="s">
        <v>319</v>
      </c>
      <c r="D1477" t="s">
        <v>56</v>
      </c>
      <c r="F1477" t="s">
        <v>267</v>
      </c>
      <c r="G1477">
        <v>4</v>
      </c>
      <c r="H1477">
        <v>170</v>
      </c>
      <c r="I1477">
        <f t="shared" si="940"/>
        <v>680</v>
      </c>
      <c r="J1477" t="s">
        <v>163</v>
      </c>
      <c r="K1477">
        <v>121</v>
      </c>
      <c r="M1477">
        <f t="shared" si="947"/>
        <v>484</v>
      </c>
      <c r="N1477">
        <f t="shared" si="948"/>
        <v>196</v>
      </c>
    </row>
    <row r="1478" spans="1:14" x14ac:dyDescent="0.25">
      <c r="A1478">
        <v>60</v>
      </c>
      <c r="B1478" s="1">
        <v>43925</v>
      </c>
      <c r="C1478" t="s">
        <v>319</v>
      </c>
      <c r="D1478" t="s">
        <v>92</v>
      </c>
      <c r="F1478" t="s">
        <v>91</v>
      </c>
      <c r="G1478">
        <v>2</v>
      </c>
      <c r="H1478">
        <v>150</v>
      </c>
      <c r="I1478">
        <f t="shared" si="940"/>
        <v>300</v>
      </c>
      <c r="J1478" t="s">
        <v>166</v>
      </c>
    </row>
    <row r="1479" spans="1:14" x14ac:dyDescent="0.25">
      <c r="A1479">
        <v>61</v>
      </c>
      <c r="B1479" s="1">
        <v>43925</v>
      </c>
      <c r="C1479" t="s">
        <v>319</v>
      </c>
      <c r="D1479" t="s">
        <v>44</v>
      </c>
      <c r="F1479" t="s">
        <v>77</v>
      </c>
      <c r="G1479">
        <v>2</v>
      </c>
      <c r="H1479">
        <v>35</v>
      </c>
      <c r="I1479">
        <f t="shared" si="940"/>
        <v>70</v>
      </c>
      <c r="J1479" t="s">
        <v>166</v>
      </c>
      <c r="K1479">
        <v>26</v>
      </c>
      <c r="M1479">
        <f t="shared" ref="M1479" si="949">+K1479*G1479</f>
        <v>52</v>
      </c>
      <c r="N1479">
        <f t="shared" ref="N1479" si="950">+I1479-M1479</f>
        <v>18</v>
      </c>
    </row>
    <row r="1480" spans="1:14" x14ac:dyDescent="0.25">
      <c r="A1480">
        <v>62</v>
      </c>
      <c r="B1480" s="1">
        <v>43925</v>
      </c>
      <c r="C1480" t="s">
        <v>319</v>
      </c>
      <c r="D1480" t="s">
        <v>15</v>
      </c>
      <c r="F1480" t="s">
        <v>252</v>
      </c>
      <c r="G1480">
        <v>1.5</v>
      </c>
      <c r="H1480">
        <v>280</v>
      </c>
      <c r="I1480">
        <f t="shared" si="940"/>
        <v>420</v>
      </c>
      <c r="J1480" t="s">
        <v>163</v>
      </c>
      <c r="K1480">
        <v>216</v>
      </c>
      <c r="M1480">
        <f t="shared" ref="M1480" si="951">+K1480*G1480</f>
        <v>324</v>
      </c>
      <c r="N1480">
        <f t="shared" ref="N1480" si="952">+I1480-M1480</f>
        <v>96</v>
      </c>
    </row>
    <row r="1481" spans="1:14" x14ac:dyDescent="0.25">
      <c r="A1481">
        <v>63</v>
      </c>
      <c r="B1481" s="1">
        <v>43925</v>
      </c>
      <c r="C1481" t="s">
        <v>319</v>
      </c>
      <c r="D1481" t="s">
        <v>56</v>
      </c>
      <c r="F1481" t="s">
        <v>38</v>
      </c>
      <c r="G1481">
        <v>1</v>
      </c>
      <c r="H1481">
        <v>110</v>
      </c>
      <c r="I1481">
        <f t="shared" si="940"/>
        <v>110</v>
      </c>
      <c r="J1481" t="s">
        <v>164</v>
      </c>
      <c r="K1481">
        <v>70</v>
      </c>
      <c r="M1481">
        <f t="shared" ref="M1481:M1487" si="953">+K1481*G1481</f>
        <v>70</v>
      </c>
      <c r="N1481">
        <f t="shared" ref="N1481:N1487" si="954">+I1481-M1481</f>
        <v>40</v>
      </c>
    </row>
    <row r="1482" spans="1:14" x14ac:dyDescent="0.25">
      <c r="A1482">
        <v>64</v>
      </c>
      <c r="B1482" s="1">
        <v>43925</v>
      </c>
      <c r="C1482" t="s">
        <v>319</v>
      </c>
      <c r="D1482" t="s">
        <v>15</v>
      </c>
      <c r="F1482" t="s">
        <v>252</v>
      </c>
      <c r="G1482">
        <v>2</v>
      </c>
      <c r="H1482">
        <v>280</v>
      </c>
      <c r="I1482">
        <f t="shared" si="940"/>
        <v>560</v>
      </c>
      <c r="J1482" t="s">
        <v>163</v>
      </c>
      <c r="K1482">
        <v>216</v>
      </c>
      <c r="M1482">
        <f t="shared" si="953"/>
        <v>432</v>
      </c>
      <c r="N1482">
        <f t="shared" si="954"/>
        <v>128</v>
      </c>
    </row>
    <row r="1483" spans="1:14" x14ac:dyDescent="0.25">
      <c r="A1483">
        <v>65</v>
      </c>
      <c r="B1483" s="1">
        <v>43925</v>
      </c>
      <c r="C1483" t="s">
        <v>319</v>
      </c>
      <c r="D1483" t="s">
        <v>56</v>
      </c>
      <c r="F1483" t="s">
        <v>267</v>
      </c>
      <c r="G1483">
        <v>3</v>
      </c>
      <c r="H1483">
        <v>170</v>
      </c>
      <c r="I1483">
        <f t="shared" si="940"/>
        <v>510</v>
      </c>
      <c r="J1483" t="s">
        <v>163</v>
      </c>
      <c r="K1483">
        <v>121</v>
      </c>
      <c r="M1483">
        <f t="shared" si="953"/>
        <v>363</v>
      </c>
      <c r="N1483">
        <f t="shared" si="954"/>
        <v>147</v>
      </c>
    </row>
    <row r="1484" spans="1:14" x14ac:dyDescent="0.25">
      <c r="A1484">
        <v>66</v>
      </c>
      <c r="B1484" s="1">
        <v>43925</v>
      </c>
      <c r="C1484" t="s">
        <v>319</v>
      </c>
      <c r="D1484" t="s">
        <v>15</v>
      </c>
      <c r="F1484" t="s">
        <v>297</v>
      </c>
      <c r="G1484">
        <v>7</v>
      </c>
      <c r="H1484">
        <v>240</v>
      </c>
      <c r="I1484">
        <f t="shared" si="940"/>
        <v>1680</v>
      </c>
      <c r="J1484" t="s">
        <v>163</v>
      </c>
      <c r="K1484">
        <v>207</v>
      </c>
      <c r="M1484">
        <f t="shared" si="953"/>
        <v>1449</v>
      </c>
      <c r="N1484">
        <f t="shared" si="954"/>
        <v>231</v>
      </c>
    </row>
    <row r="1485" spans="1:14" x14ac:dyDescent="0.25">
      <c r="A1485">
        <v>67</v>
      </c>
      <c r="B1485" s="1">
        <v>43925</v>
      </c>
      <c r="C1485" t="s">
        <v>319</v>
      </c>
      <c r="D1485" t="s">
        <v>15</v>
      </c>
      <c r="F1485" t="s">
        <v>292</v>
      </c>
      <c r="G1485">
        <v>5</v>
      </c>
      <c r="H1485">
        <v>230</v>
      </c>
      <c r="I1485">
        <f t="shared" si="940"/>
        <v>1150</v>
      </c>
      <c r="J1485" t="s">
        <v>163</v>
      </c>
      <c r="K1485">
        <v>177</v>
      </c>
      <c r="M1485">
        <f t="shared" si="953"/>
        <v>885</v>
      </c>
      <c r="N1485">
        <f t="shared" si="954"/>
        <v>265</v>
      </c>
    </row>
    <row r="1486" spans="1:14" x14ac:dyDescent="0.25">
      <c r="A1486">
        <v>68</v>
      </c>
      <c r="B1486" s="1">
        <v>43925</v>
      </c>
      <c r="C1486" t="s">
        <v>319</v>
      </c>
      <c r="D1486" t="s">
        <v>56</v>
      </c>
      <c r="F1486" t="s">
        <v>267</v>
      </c>
      <c r="G1486">
        <v>1</v>
      </c>
      <c r="H1486">
        <v>170</v>
      </c>
      <c r="I1486">
        <f t="shared" si="940"/>
        <v>170</v>
      </c>
      <c r="J1486" t="s">
        <v>163</v>
      </c>
      <c r="K1486">
        <v>121</v>
      </c>
      <c r="M1486">
        <f t="shared" si="953"/>
        <v>121</v>
      </c>
      <c r="N1486">
        <f t="shared" si="954"/>
        <v>49</v>
      </c>
    </row>
    <row r="1487" spans="1:14" x14ac:dyDescent="0.25">
      <c r="A1487">
        <v>69</v>
      </c>
      <c r="B1487" s="1">
        <v>43927</v>
      </c>
      <c r="C1487" t="s">
        <v>319</v>
      </c>
      <c r="D1487" t="s">
        <v>15</v>
      </c>
      <c r="F1487" t="s">
        <v>54</v>
      </c>
      <c r="G1487">
        <f>2/4</f>
        <v>0.5</v>
      </c>
      <c r="H1487">
        <v>240</v>
      </c>
      <c r="I1487">
        <f t="shared" si="940"/>
        <v>120</v>
      </c>
      <c r="J1487" t="s">
        <v>163</v>
      </c>
      <c r="K1487">
        <v>214</v>
      </c>
      <c r="M1487">
        <f t="shared" si="953"/>
        <v>107</v>
      </c>
      <c r="N1487">
        <f t="shared" si="954"/>
        <v>13</v>
      </c>
    </row>
    <row r="1488" spans="1:14" x14ac:dyDescent="0.25">
      <c r="A1488">
        <v>70</v>
      </c>
      <c r="B1488" s="1">
        <v>43927</v>
      </c>
      <c r="C1488" t="s">
        <v>319</v>
      </c>
      <c r="D1488" t="s">
        <v>55</v>
      </c>
      <c r="F1488" t="s">
        <v>97</v>
      </c>
      <c r="G1488">
        <f>7/16</f>
        <v>0.4375</v>
      </c>
      <c r="H1488">
        <v>280</v>
      </c>
      <c r="I1488">
        <f t="shared" si="940"/>
        <v>122.5</v>
      </c>
      <c r="J1488" t="s">
        <v>167</v>
      </c>
      <c r="K1488">
        <v>207</v>
      </c>
      <c r="M1488">
        <f t="shared" ref="M1488" si="955">+K1488*G1488</f>
        <v>90.5625</v>
      </c>
      <c r="N1488">
        <f t="shared" ref="N1488" si="956">+I1488-M1488</f>
        <v>31.9375</v>
      </c>
    </row>
    <row r="1489" spans="1:14" x14ac:dyDescent="0.25">
      <c r="A1489">
        <v>71</v>
      </c>
      <c r="B1489" s="1">
        <v>43927</v>
      </c>
      <c r="C1489" t="s">
        <v>319</v>
      </c>
      <c r="D1489" t="s">
        <v>25</v>
      </c>
      <c r="F1489" t="s">
        <v>305</v>
      </c>
      <c r="G1489">
        <v>2</v>
      </c>
      <c r="H1489">
        <v>60</v>
      </c>
      <c r="I1489">
        <f t="shared" si="940"/>
        <v>120</v>
      </c>
      <c r="J1489" t="s">
        <v>165</v>
      </c>
      <c r="K1489">
        <f t="shared" ref="K1489" si="957">380/12</f>
        <v>31.666666666666668</v>
      </c>
      <c r="M1489">
        <f t="shared" ref="M1489:M1490" si="958">+K1489*G1489</f>
        <v>63.333333333333336</v>
      </c>
      <c r="N1489">
        <f t="shared" ref="N1489:N1490" si="959">+I1489-M1489</f>
        <v>56.666666666666664</v>
      </c>
    </row>
    <row r="1490" spans="1:14" x14ac:dyDescent="0.25">
      <c r="A1490">
        <v>72</v>
      </c>
      <c r="B1490" s="1">
        <v>43927</v>
      </c>
      <c r="C1490" t="s">
        <v>319</v>
      </c>
      <c r="D1490" t="s">
        <v>70</v>
      </c>
      <c r="F1490" t="s">
        <v>304</v>
      </c>
      <c r="G1490">
        <v>1</v>
      </c>
      <c r="H1490">
        <v>1800</v>
      </c>
      <c r="I1490">
        <f t="shared" si="940"/>
        <v>1800</v>
      </c>
      <c r="J1490" t="s">
        <v>163</v>
      </c>
      <c r="K1490">
        <v>1400</v>
      </c>
      <c r="M1490">
        <f t="shared" si="958"/>
        <v>1400</v>
      </c>
      <c r="N1490">
        <f t="shared" si="959"/>
        <v>400</v>
      </c>
    </row>
    <row r="1491" spans="1:14" x14ac:dyDescent="0.25">
      <c r="A1491">
        <v>73</v>
      </c>
      <c r="B1491" s="1">
        <v>43927</v>
      </c>
      <c r="C1491" t="s">
        <v>319</v>
      </c>
      <c r="D1491" t="s">
        <v>56</v>
      </c>
      <c r="F1491" t="s">
        <v>38</v>
      </c>
      <c r="G1491">
        <v>2</v>
      </c>
      <c r="H1491">
        <v>110</v>
      </c>
      <c r="I1491">
        <f t="shared" si="940"/>
        <v>220</v>
      </c>
      <c r="J1491" t="s">
        <v>164</v>
      </c>
      <c r="K1491">
        <v>70</v>
      </c>
      <c r="M1491">
        <f t="shared" ref="M1491:M1497" si="960">+K1491*G1491</f>
        <v>140</v>
      </c>
      <c r="N1491">
        <f t="shared" ref="N1491:N1497" si="961">+I1491-M1491</f>
        <v>80</v>
      </c>
    </row>
    <row r="1492" spans="1:14" x14ac:dyDescent="0.25">
      <c r="A1492">
        <v>74</v>
      </c>
      <c r="B1492" s="1">
        <v>43927</v>
      </c>
      <c r="C1492" t="s">
        <v>319</v>
      </c>
      <c r="D1492" t="s">
        <v>55</v>
      </c>
      <c r="F1492" t="s">
        <v>97</v>
      </c>
      <c r="G1492">
        <v>2</v>
      </c>
      <c r="H1492">
        <v>280</v>
      </c>
      <c r="I1492">
        <f t="shared" si="940"/>
        <v>560</v>
      </c>
      <c r="J1492" t="s">
        <v>167</v>
      </c>
      <c r="K1492">
        <v>207</v>
      </c>
      <c r="M1492">
        <f t="shared" si="960"/>
        <v>414</v>
      </c>
      <c r="N1492">
        <f t="shared" si="961"/>
        <v>146</v>
      </c>
    </row>
    <row r="1493" spans="1:14" x14ac:dyDescent="0.25">
      <c r="A1493">
        <v>75</v>
      </c>
      <c r="B1493" s="1">
        <v>43927</v>
      </c>
      <c r="C1493" t="s">
        <v>319</v>
      </c>
      <c r="D1493" t="s">
        <v>15</v>
      </c>
      <c r="F1493" t="s">
        <v>80</v>
      </c>
      <c r="G1493">
        <v>4.0999999999999996</v>
      </c>
      <c r="H1493">
        <v>240</v>
      </c>
      <c r="I1493">
        <f t="shared" si="940"/>
        <v>983.99999999999989</v>
      </c>
      <c r="J1493" t="s">
        <v>163</v>
      </c>
      <c r="K1493">
        <v>213</v>
      </c>
      <c r="M1493">
        <f t="shared" si="960"/>
        <v>873.3</v>
      </c>
      <c r="N1493">
        <f t="shared" si="961"/>
        <v>110.69999999999993</v>
      </c>
    </row>
    <row r="1494" spans="1:14" x14ac:dyDescent="0.25">
      <c r="A1494">
        <v>76</v>
      </c>
      <c r="B1494" s="1">
        <v>43927</v>
      </c>
      <c r="C1494" t="s">
        <v>319</v>
      </c>
      <c r="D1494" t="s">
        <v>56</v>
      </c>
      <c r="F1494" t="s">
        <v>267</v>
      </c>
      <c r="G1494">
        <v>1</v>
      </c>
      <c r="H1494">
        <v>170</v>
      </c>
      <c r="I1494">
        <f t="shared" si="940"/>
        <v>170</v>
      </c>
      <c r="J1494" t="s">
        <v>163</v>
      </c>
      <c r="K1494">
        <v>121</v>
      </c>
      <c r="M1494">
        <f t="shared" si="960"/>
        <v>121</v>
      </c>
      <c r="N1494">
        <f t="shared" si="961"/>
        <v>49</v>
      </c>
    </row>
    <row r="1495" spans="1:14" x14ac:dyDescent="0.25">
      <c r="A1495">
        <v>77</v>
      </c>
      <c r="B1495" s="1">
        <v>43927</v>
      </c>
      <c r="C1495" t="s">
        <v>319</v>
      </c>
      <c r="D1495" t="s">
        <v>15</v>
      </c>
      <c r="F1495" t="s">
        <v>297</v>
      </c>
      <c r="G1495">
        <f>5/9</f>
        <v>0.55555555555555558</v>
      </c>
      <c r="H1495">
        <v>240</v>
      </c>
      <c r="I1495">
        <f t="shared" si="940"/>
        <v>133.33333333333334</v>
      </c>
      <c r="J1495" t="s">
        <v>163</v>
      </c>
      <c r="K1495">
        <v>207</v>
      </c>
      <c r="M1495">
        <f t="shared" si="960"/>
        <v>115</v>
      </c>
      <c r="N1495">
        <f t="shared" si="961"/>
        <v>18.333333333333343</v>
      </c>
    </row>
    <row r="1496" spans="1:14" x14ac:dyDescent="0.25">
      <c r="A1496">
        <v>78</v>
      </c>
      <c r="B1496" s="1">
        <v>43927</v>
      </c>
      <c r="C1496" t="s">
        <v>319</v>
      </c>
      <c r="D1496" t="s">
        <v>15</v>
      </c>
      <c r="F1496" t="s">
        <v>54</v>
      </c>
      <c r="G1496">
        <f>3/4</f>
        <v>0.75</v>
      </c>
      <c r="H1496">
        <v>240</v>
      </c>
      <c r="I1496">
        <f t="shared" si="940"/>
        <v>180</v>
      </c>
      <c r="J1496" t="s">
        <v>163</v>
      </c>
      <c r="K1496">
        <v>214</v>
      </c>
      <c r="M1496">
        <f t="shared" si="960"/>
        <v>160.5</v>
      </c>
      <c r="N1496">
        <f t="shared" si="961"/>
        <v>19.5</v>
      </c>
    </row>
    <row r="1497" spans="1:14" x14ac:dyDescent="0.25">
      <c r="A1497">
        <v>79</v>
      </c>
      <c r="B1497" s="1">
        <v>43927</v>
      </c>
      <c r="C1497" t="s">
        <v>319</v>
      </c>
      <c r="D1497" t="s">
        <v>15</v>
      </c>
      <c r="F1497" t="s">
        <v>80</v>
      </c>
      <c r="G1497">
        <v>13</v>
      </c>
      <c r="H1497">
        <v>240</v>
      </c>
      <c r="I1497">
        <f t="shared" si="940"/>
        <v>3120</v>
      </c>
      <c r="J1497" t="s">
        <v>163</v>
      </c>
      <c r="K1497">
        <v>213</v>
      </c>
      <c r="M1497">
        <f t="shared" si="960"/>
        <v>2769</v>
      </c>
      <c r="N1497">
        <f t="shared" si="961"/>
        <v>351</v>
      </c>
    </row>
    <row r="1498" spans="1:14" x14ac:dyDescent="0.25">
      <c r="A1498">
        <v>80</v>
      </c>
      <c r="B1498" s="1">
        <v>43927</v>
      </c>
      <c r="C1498" t="s">
        <v>319</v>
      </c>
      <c r="D1498" t="s">
        <v>68</v>
      </c>
      <c r="F1498" t="s">
        <v>317</v>
      </c>
      <c r="G1498">
        <v>1</v>
      </c>
      <c r="H1498">
        <v>210</v>
      </c>
      <c r="I1498">
        <f t="shared" si="940"/>
        <v>210</v>
      </c>
      <c r="J1498" t="s">
        <v>166</v>
      </c>
    </row>
    <row r="1499" spans="1:14" x14ac:dyDescent="0.25">
      <c r="A1499">
        <v>81</v>
      </c>
      <c r="B1499" s="1">
        <v>43927</v>
      </c>
      <c r="C1499" t="s">
        <v>319</v>
      </c>
      <c r="D1499" t="s">
        <v>15</v>
      </c>
      <c r="F1499" t="s">
        <v>292</v>
      </c>
      <c r="G1499">
        <f>4/8</f>
        <v>0.5</v>
      </c>
      <c r="H1499">
        <v>230</v>
      </c>
      <c r="I1499">
        <f t="shared" si="940"/>
        <v>115</v>
      </c>
      <c r="J1499" t="s">
        <v>163</v>
      </c>
      <c r="K1499">
        <v>177</v>
      </c>
      <c r="M1499">
        <f t="shared" ref="M1499" si="962">+K1499*G1499</f>
        <v>88.5</v>
      </c>
      <c r="N1499">
        <f t="shared" ref="N1499" si="963">+I1499-M1499</f>
        <v>26.5</v>
      </c>
    </row>
    <row r="1500" spans="1:14" x14ac:dyDescent="0.25">
      <c r="A1500">
        <v>82</v>
      </c>
      <c r="B1500" s="1">
        <v>43927</v>
      </c>
      <c r="C1500" t="s">
        <v>319</v>
      </c>
      <c r="D1500" t="s">
        <v>56</v>
      </c>
      <c r="F1500" t="s">
        <v>38</v>
      </c>
      <c r="G1500">
        <v>1</v>
      </c>
      <c r="H1500">
        <v>110</v>
      </c>
      <c r="I1500">
        <f t="shared" si="940"/>
        <v>110</v>
      </c>
      <c r="J1500" t="s">
        <v>164</v>
      </c>
      <c r="K1500">
        <v>70</v>
      </c>
      <c r="M1500">
        <f t="shared" ref="M1500:M1504" si="964">+K1500*G1500</f>
        <v>70</v>
      </c>
      <c r="N1500">
        <f t="shared" ref="N1500:N1504" si="965">+I1500-M1500</f>
        <v>40</v>
      </c>
    </row>
    <row r="1501" spans="1:14" x14ac:dyDescent="0.25">
      <c r="A1501">
        <v>83</v>
      </c>
      <c r="B1501" s="1">
        <v>43927</v>
      </c>
      <c r="C1501" t="s">
        <v>319</v>
      </c>
      <c r="D1501" t="s">
        <v>25</v>
      </c>
      <c r="F1501" t="s">
        <v>145</v>
      </c>
      <c r="G1501">
        <v>6</v>
      </c>
      <c r="H1501">
        <v>100</v>
      </c>
      <c r="I1501">
        <f t="shared" si="940"/>
        <v>600</v>
      </c>
      <c r="J1501" t="s">
        <v>163</v>
      </c>
      <c r="K1501">
        <v>69</v>
      </c>
      <c r="M1501">
        <f t="shared" si="964"/>
        <v>414</v>
      </c>
      <c r="N1501">
        <f t="shared" si="965"/>
        <v>186</v>
      </c>
    </row>
    <row r="1502" spans="1:14" x14ac:dyDescent="0.25">
      <c r="A1502">
        <v>84</v>
      </c>
      <c r="B1502" s="1">
        <v>43927</v>
      </c>
      <c r="C1502" t="s">
        <v>319</v>
      </c>
      <c r="D1502" t="s">
        <v>15</v>
      </c>
      <c r="F1502" t="s">
        <v>33</v>
      </c>
      <c r="G1502">
        <v>2</v>
      </c>
      <c r="H1502">
        <v>230</v>
      </c>
      <c r="I1502">
        <f t="shared" si="940"/>
        <v>460</v>
      </c>
      <c r="J1502" t="s">
        <v>163</v>
      </c>
      <c r="K1502">
        <v>204</v>
      </c>
      <c r="M1502">
        <f t="shared" si="964"/>
        <v>408</v>
      </c>
      <c r="N1502">
        <f t="shared" si="965"/>
        <v>52</v>
      </c>
    </row>
    <row r="1503" spans="1:14" x14ac:dyDescent="0.25">
      <c r="A1503">
        <v>85</v>
      </c>
      <c r="B1503" s="1">
        <v>43927</v>
      </c>
      <c r="C1503" t="s">
        <v>319</v>
      </c>
      <c r="D1503" t="s">
        <v>15</v>
      </c>
      <c r="F1503" t="s">
        <v>76</v>
      </c>
      <c r="G1503">
        <v>1</v>
      </c>
      <c r="H1503">
        <v>230</v>
      </c>
      <c r="I1503">
        <f t="shared" si="940"/>
        <v>230</v>
      </c>
      <c r="J1503" t="s">
        <v>163</v>
      </c>
      <c r="K1503">
        <v>201</v>
      </c>
      <c r="M1503">
        <f t="shared" si="964"/>
        <v>201</v>
      </c>
      <c r="N1503">
        <f t="shared" si="965"/>
        <v>29</v>
      </c>
    </row>
    <row r="1504" spans="1:14" x14ac:dyDescent="0.25">
      <c r="A1504">
        <v>86</v>
      </c>
      <c r="B1504" s="1">
        <v>43928</v>
      </c>
      <c r="C1504" t="s">
        <v>319</v>
      </c>
      <c r="D1504" t="s">
        <v>15</v>
      </c>
      <c r="F1504" t="s">
        <v>296</v>
      </c>
      <c r="G1504">
        <v>2</v>
      </c>
      <c r="H1504">
        <v>240</v>
      </c>
      <c r="I1504">
        <f t="shared" si="940"/>
        <v>480</v>
      </c>
      <c r="J1504" t="s">
        <v>163</v>
      </c>
      <c r="K1504">
        <v>177</v>
      </c>
      <c r="M1504">
        <f t="shared" si="964"/>
        <v>354</v>
      </c>
      <c r="N1504">
        <f t="shared" si="965"/>
        <v>126</v>
      </c>
    </row>
    <row r="1505" spans="1:14" x14ac:dyDescent="0.25">
      <c r="A1505">
        <v>87</v>
      </c>
      <c r="B1505" s="1">
        <v>43928</v>
      </c>
      <c r="C1505" t="s">
        <v>319</v>
      </c>
      <c r="D1505" t="s">
        <v>85</v>
      </c>
      <c r="F1505" t="s">
        <v>216</v>
      </c>
      <c r="G1505">
        <v>1</v>
      </c>
      <c r="H1505">
        <v>900</v>
      </c>
      <c r="I1505">
        <f t="shared" si="940"/>
        <v>900</v>
      </c>
      <c r="J1505" t="s">
        <v>167</v>
      </c>
      <c r="K1505">
        <v>398</v>
      </c>
      <c r="M1505">
        <f t="shared" ref="M1505:M1506" si="966">+K1505*G1505</f>
        <v>398</v>
      </c>
      <c r="N1505">
        <f t="shared" ref="N1505:N1506" si="967">+I1505-M1505</f>
        <v>502</v>
      </c>
    </row>
    <row r="1506" spans="1:14" x14ac:dyDescent="0.25">
      <c r="A1506">
        <v>88</v>
      </c>
      <c r="B1506" s="1">
        <v>43928</v>
      </c>
      <c r="C1506" t="s">
        <v>319</v>
      </c>
      <c r="D1506" t="s">
        <v>15</v>
      </c>
      <c r="F1506" t="s">
        <v>309</v>
      </c>
      <c r="G1506">
        <v>3</v>
      </c>
      <c r="H1506">
        <v>240</v>
      </c>
      <c r="I1506">
        <f t="shared" si="940"/>
        <v>720</v>
      </c>
      <c r="J1506" t="s">
        <v>163</v>
      </c>
      <c r="K1506">
        <v>205</v>
      </c>
      <c r="M1506">
        <f t="shared" si="966"/>
        <v>615</v>
      </c>
      <c r="N1506">
        <f t="shared" si="967"/>
        <v>105</v>
      </c>
    </row>
    <row r="1507" spans="1:14" x14ac:dyDescent="0.25">
      <c r="A1507">
        <v>89</v>
      </c>
      <c r="B1507" s="1">
        <v>43928</v>
      </c>
      <c r="C1507" t="s">
        <v>319</v>
      </c>
      <c r="D1507" t="s">
        <v>25</v>
      </c>
      <c r="F1507" t="s">
        <v>225</v>
      </c>
      <c r="G1507">
        <v>1</v>
      </c>
      <c r="H1507">
        <v>60</v>
      </c>
      <c r="I1507">
        <f t="shared" si="940"/>
        <v>60</v>
      </c>
      <c r="J1507" t="s">
        <v>165</v>
      </c>
      <c r="K1507">
        <f t="shared" ref="K1507" si="968">380/12</f>
        <v>31.666666666666668</v>
      </c>
      <c r="M1507">
        <f t="shared" ref="M1507:M1508" si="969">+K1507*G1507</f>
        <v>31.666666666666668</v>
      </c>
      <c r="N1507">
        <f t="shared" ref="N1507:N1508" si="970">+I1507-M1507</f>
        <v>28.333333333333332</v>
      </c>
    </row>
    <row r="1508" spans="1:14" x14ac:dyDescent="0.25">
      <c r="A1508">
        <v>90</v>
      </c>
      <c r="B1508" s="1">
        <v>43928</v>
      </c>
      <c r="C1508" t="s">
        <v>319</v>
      </c>
      <c r="D1508" t="s">
        <v>15</v>
      </c>
      <c r="F1508" t="s">
        <v>29</v>
      </c>
      <c r="G1508">
        <v>2</v>
      </c>
      <c r="H1508">
        <v>230</v>
      </c>
      <c r="I1508">
        <f t="shared" si="940"/>
        <v>460</v>
      </c>
      <c r="J1508" t="s">
        <v>163</v>
      </c>
      <c r="K1508">
        <v>197</v>
      </c>
      <c r="M1508">
        <f t="shared" si="969"/>
        <v>394</v>
      </c>
      <c r="N1508">
        <f t="shared" si="970"/>
        <v>66</v>
      </c>
    </row>
    <row r="1509" spans="1:14" x14ac:dyDescent="0.25">
      <c r="A1509">
        <v>91</v>
      </c>
      <c r="B1509" s="1">
        <v>43928</v>
      </c>
      <c r="C1509" t="s">
        <v>319</v>
      </c>
      <c r="D1509" t="s">
        <v>56</v>
      </c>
      <c r="F1509" t="s">
        <v>38</v>
      </c>
      <c r="G1509">
        <v>1</v>
      </c>
      <c r="H1509">
        <v>110</v>
      </c>
      <c r="I1509">
        <f t="shared" si="940"/>
        <v>110</v>
      </c>
      <c r="J1509" t="s">
        <v>164</v>
      </c>
      <c r="K1509">
        <v>70</v>
      </c>
      <c r="M1509">
        <f t="shared" ref="M1509:M1512" si="971">+K1509*G1509</f>
        <v>70</v>
      </c>
      <c r="N1509">
        <f t="shared" ref="N1509:N1512" si="972">+I1509-M1509</f>
        <v>40</v>
      </c>
    </row>
    <row r="1510" spans="1:14" x14ac:dyDescent="0.25">
      <c r="A1510">
        <v>92</v>
      </c>
      <c r="B1510" s="1">
        <v>43928</v>
      </c>
      <c r="C1510" t="s">
        <v>319</v>
      </c>
      <c r="D1510" t="s">
        <v>25</v>
      </c>
      <c r="F1510" t="s">
        <v>305</v>
      </c>
      <c r="G1510">
        <v>1</v>
      </c>
      <c r="H1510">
        <v>60</v>
      </c>
      <c r="I1510">
        <f t="shared" si="940"/>
        <v>60</v>
      </c>
      <c r="J1510" t="s">
        <v>165</v>
      </c>
      <c r="K1510">
        <f t="shared" ref="K1510" si="973">380/12</f>
        <v>31.666666666666668</v>
      </c>
      <c r="M1510">
        <f t="shared" si="971"/>
        <v>31.666666666666668</v>
      </c>
      <c r="N1510">
        <f t="shared" si="972"/>
        <v>28.333333333333332</v>
      </c>
    </row>
    <row r="1511" spans="1:14" x14ac:dyDescent="0.25">
      <c r="A1511">
        <v>93</v>
      </c>
      <c r="B1511" s="1">
        <v>43928</v>
      </c>
      <c r="C1511" t="s">
        <v>319</v>
      </c>
      <c r="D1511" t="s">
        <v>15</v>
      </c>
      <c r="F1511" t="s">
        <v>54</v>
      </c>
      <c r="G1511">
        <v>23</v>
      </c>
      <c r="H1511">
        <v>240</v>
      </c>
      <c r="I1511">
        <f t="shared" si="940"/>
        <v>5520</v>
      </c>
      <c r="J1511" t="s">
        <v>163</v>
      </c>
      <c r="K1511">
        <v>214</v>
      </c>
      <c r="M1511">
        <f t="shared" si="971"/>
        <v>4922</v>
      </c>
      <c r="N1511">
        <f t="shared" si="972"/>
        <v>598</v>
      </c>
    </row>
    <row r="1512" spans="1:14" x14ac:dyDescent="0.25">
      <c r="A1512">
        <v>94</v>
      </c>
      <c r="B1512" s="1">
        <v>43928</v>
      </c>
      <c r="C1512" t="s">
        <v>319</v>
      </c>
      <c r="D1512" t="s">
        <v>15</v>
      </c>
      <c r="F1512" t="s">
        <v>219</v>
      </c>
      <c r="G1512">
        <v>1</v>
      </c>
      <c r="H1512">
        <v>240</v>
      </c>
      <c r="I1512">
        <f t="shared" si="940"/>
        <v>240</v>
      </c>
      <c r="J1512" t="s">
        <v>163</v>
      </c>
      <c r="K1512">
        <v>213</v>
      </c>
      <c r="M1512">
        <f t="shared" si="971"/>
        <v>213</v>
      </c>
      <c r="N1512">
        <f t="shared" si="972"/>
        <v>27</v>
      </c>
    </row>
    <row r="1513" spans="1:14" x14ac:dyDescent="0.25">
      <c r="A1513">
        <v>95</v>
      </c>
      <c r="B1513" s="1">
        <v>43928</v>
      </c>
      <c r="C1513" t="s">
        <v>319</v>
      </c>
      <c r="D1513" t="s">
        <v>56</v>
      </c>
      <c r="F1513" t="s">
        <v>38</v>
      </c>
      <c r="G1513">
        <v>1</v>
      </c>
      <c r="H1513">
        <v>110</v>
      </c>
      <c r="I1513">
        <f t="shared" si="940"/>
        <v>110</v>
      </c>
      <c r="J1513" t="s">
        <v>164</v>
      </c>
      <c r="K1513">
        <v>70</v>
      </c>
      <c r="M1513">
        <f t="shared" ref="M1513:M1524" si="974">+K1513*G1513</f>
        <v>70</v>
      </c>
      <c r="N1513">
        <f t="shared" ref="N1513:N1524" si="975">+I1513-M1513</f>
        <v>40</v>
      </c>
    </row>
    <row r="1514" spans="1:14" x14ac:dyDescent="0.25">
      <c r="A1514">
        <v>96</v>
      </c>
      <c r="B1514" s="1">
        <v>43928</v>
      </c>
      <c r="C1514" t="s">
        <v>319</v>
      </c>
      <c r="D1514" t="s">
        <v>56</v>
      </c>
      <c r="F1514" t="s">
        <v>267</v>
      </c>
      <c r="G1514">
        <v>1</v>
      </c>
      <c r="H1514">
        <v>170</v>
      </c>
      <c r="I1514">
        <f t="shared" si="940"/>
        <v>170</v>
      </c>
      <c r="J1514" t="s">
        <v>163</v>
      </c>
      <c r="K1514">
        <v>121</v>
      </c>
      <c r="M1514">
        <f t="shared" si="974"/>
        <v>121</v>
      </c>
      <c r="N1514">
        <f t="shared" si="975"/>
        <v>49</v>
      </c>
    </row>
    <row r="1515" spans="1:14" x14ac:dyDescent="0.25">
      <c r="A1515">
        <v>97</v>
      </c>
      <c r="B1515" s="1">
        <v>43928</v>
      </c>
      <c r="C1515" t="s">
        <v>319</v>
      </c>
      <c r="D1515" t="s">
        <v>15</v>
      </c>
      <c r="F1515" t="s">
        <v>54</v>
      </c>
      <c r="G1515">
        <v>1.5</v>
      </c>
      <c r="H1515">
        <v>240</v>
      </c>
      <c r="I1515">
        <f t="shared" si="940"/>
        <v>360</v>
      </c>
      <c r="J1515" t="s">
        <v>163</v>
      </c>
      <c r="K1515">
        <v>214</v>
      </c>
      <c r="M1515">
        <f t="shared" si="974"/>
        <v>321</v>
      </c>
      <c r="N1515">
        <f t="shared" si="975"/>
        <v>39</v>
      </c>
    </row>
    <row r="1516" spans="1:14" x14ac:dyDescent="0.25">
      <c r="A1516">
        <v>98</v>
      </c>
      <c r="B1516" s="1">
        <v>43928</v>
      </c>
      <c r="C1516" t="s">
        <v>319</v>
      </c>
      <c r="D1516" t="s">
        <v>15</v>
      </c>
      <c r="F1516" t="s">
        <v>252</v>
      </c>
      <c r="G1516">
        <v>1.5</v>
      </c>
      <c r="H1516">
        <v>280</v>
      </c>
      <c r="I1516">
        <f t="shared" si="940"/>
        <v>420</v>
      </c>
      <c r="J1516" t="s">
        <v>163</v>
      </c>
      <c r="K1516">
        <v>216</v>
      </c>
      <c r="M1516">
        <f t="shared" si="974"/>
        <v>324</v>
      </c>
      <c r="N1516">
        <f t="shared" si="975"/>
        <v>96</v>
      </c>
    </row>
    <row r="1517" spans="1:14" x14ac:dyDescent="0.25">
      <c r="A1517">
        <v>99</v>
      </c>
      <c r="B1517" s="1">
        <v>43928</v>
      </c>
      <c r="C1517" t="s">
        <v>319</v>
      </c>
      <c r="D1517" t="s">
        <v>15</v>
      </c>
      <c r="F1517" t="s">
        <v>54</v>
      </c>
      <c r="G1517">
        <v>1.5</v>
      </c>
      <c r="H1517">
        <v>240</v>
      </c>
      <c r="I1517">
        <f t="shared" si="940"/>
        <v>360</v>
      </c>
      <c r="J1517" t="s">
        <v>163</v>
      </c>
      <c r="K1517">
        <v>214</v>
      </c>
      <c r="M1517">
        <f t="shared" si="974"/>
        <v>321</v>
      </c>
      <c r="N1517">
        <f t="shared" si="975"/>
        <v>39</v>
      </c>
    </row>
    <row r="1518" spans="1:14" x14ac:dyDescent="0.25">
      <c r="A1518">
        <v>100</v>
      </c>
      <c r="B1518" s="1">
        <v>43928</v>
      </c>
      <c r="C1518" t="s">
        <v>319</v>
      </c>
      <c r="D1518" t="s">
        <v>56</v>
      </c>
      <c r="F1518" t="s">
        <v>267</v>
      </c>
      <c r="G1518">
        <v>1</v>
      </c>
      <c r="H1518">
        <v>170</v>
      </c>
      <c r="I1518">
        <f t="shared" si="940"/>
        <v>170</v>
      </c>
      <c r="J1518" t="s">
        <v>163</v>
      </c>
      <c r="K1518">
        <v>121</v>
      </c>
      <c r="M1518">
        <f t="shared" si="974"/>
        <v>121</v>
      </c>
      <c r="N1518">
        <f t="shared" si="975"/>
        <v>49</v>
      </c>
    </row>
    <row r="1519" spans="1:14" x14ac:dyDescent="0.25">
      <c r="A1519">
        <v>101</v>
      </c>
      <c r="B1519" s="1">
        <v>43934</v>
      </c>
      <c r="C1519" t="s">
        <v>319</v>
      </c>
      <c r="D1519" t="s">
        <v>15</v>
      </c>
      <c r="F1519" t="s">
        <v>54</v>
      </c>
      <c r="G1519">
        <f>3/4</f>
        <v>0.75</v>
      </c>
      <c r="H1519">
        <v>240</v>
      </c>
      <c r="I1519">
        <f t="shared" si="940"/>
        <v>180</v>
      </c>
      <c r="J1519" t="s">
        <v>163</v>
      </c>
      <c r="K1519">
        <v>214</v>
      </c>
      <c r="M1519">
        <f t="shared" si="974"/>
        <v>160.5</v>
      </c>
      <c r="N1519">
        <f t="shared" si="975"/>
        <v>19.5</v>
      </c>
    </row>
    <row r="1520" spans="1:14" x14ac:dyDescent="0.25">
      <c r="A1520">
        <v>102</v>
      </c>
      <c r="B1520" s="1">
        <v>43934</v>
      </c>
      <c r="C1520" t="s">
        <v>319</v>
      </c>
      <c r="D1520" t="s">
        <v>15</v>
      </c>
      <c r="F1520" t="s">
        <v>20</v>
      </c>
      <c r="G1520">
        <v>6.16</v>
      </c>
      <c r="H1520">
        <v>250</v>
      </c>
      <c r="I1520">
        <f t="shared" si="940"/>
        <v>1540</v>
      </c>
      <c r="J1520" t="s">
        <v>163</v>
      </c>
      <c r="K1520">
        <v>217</v>
      </c>
      <c r="M1520">
        <f t="shared" si="974"/>
        <v>1336.72</v>
      </c>
      <c r="N1520">
        <f t="shared" si="975"/>
        <v>203.27999999999997</v>
      </c>
    </row>
    <row r="1521" spans="1:14" x14ac:dyDescent="0.25">
      <c r="A1521">
        <v>103</v>
      </c>
      <c r="B1521" s="1">
        <v>43934</v>
      </c>
      <c r="C1521" t="s">
        <v>319</v>
      </c>
      <c r="D1521" t="s">
        <v>15</v>
      </c>
      <c r="F1521" t="s">
        <v>31</v>
      </c>
      <c r="G1521">
        <v>2.5</v>
      </c>
      <c r="H1521">
        <v>280</v>
      </c>
      <c r="I1521">
        <f t="shared" si="940"/>
        <v>700</v>
      </c>
      <c r="J1521" t="s">
        <v>163</v>
      </c>
      <c r="K1521">
        <v>216</v>
      </c>
      <c r="M1521">
        <f t="shared" si="974"/>
        <v>540</v>
      </c>
      <c r="N1521">
        <f t="shared" si="975"/>
        <v>160</v>
      </c>
    </row>
    <row r="1522" spans="1:14" x14ac:dyDescent="0.25">
      <c r="A1522">
        <v>104</v>
      </c>
      <c r="B1522" s="1">
        <v>43934</v>
      </c>
      <c r="C1522" t="s">
        <v>319</v>
      </c>
      <c r="D1522" t="s">
        <v>15</v>
      </c>
      <c r="F1522" t="s">
        <v>76</v>
      </c>
      <c r="G1522">
        <v>1.3</v>
      </c>
      <c r="H1522">
        <v>230</v>
      </c>
      <c r="I1522">
        <f t="shared" si="940"/>
        <v>299</v>
      </c>
      <c r="J1522" t="s">
        <v>163</v>
      </c>
      <c r="K1522">
        <v>201</v>
      </c>
      <c r="M1522">
        <f t="shared" si="974"/>
        <v>261.3</v>
      </c>
      <c r="N1522">
        <f t="shared" si="975"/>
        <v>37.699999999999989</v>
      </c>
    </row>
    <row r="1523" spans="1:14" x14ac:dyDescent="0.25">
      <c r="A1523">
        <v>105</v>
      </c>
      <c r="B1523" s="1">
        <v>43934</v>
      </c>
      <c r="C1523" t="s">
        <v>319</v>
      </c>
      <c r="D1523" t="s">
        <v>56</v>
      </c>
      <c r="F1523" t="s">
        <v>267</v>
      </c>
      <c r="G1523">
        <v>3</v>
      </c>
      <c r="H1523">
        <v>170</v>
      </c>
      <c r="I1523">
        <f t="shared" si="940"/>
        <v>510</v>
      </c>
      <c r="J1523" t="s">
        <v>163</v>
      </c>
      <c r="K1523">
        <v>121</v>
      </c>
      <c r="M1523">
        <f t="shared" si="974"/>
        <v>363</v>
      </c>
      <c r="N1523">
        <f t="shared" si="975"/>
        <v>147</v>
      </c>
    </row>
    <row r="1524" spans="1:14" x14ac:dyDescent="0.25">
      <c r="A1524">
        <v>106</v>
      </c>
      <c r="B1524" s="1">
        <v>43934</v>
      </c>
      <c r="C1524" t="s">
        <v>319</v>
      </c>
      <c r="D1524" t="s">
        <v>15</v>
      </c>
      <c r="F1524" t="s">
        <v>29</v>
      </c>
      <c r="G1524">
        <f>5/9</f>
        <v>0.55555555555555558</v>
      </c>
      <c r="H1524">
        <v>230</v>
      </c>
      <c r="I1524">
        <f t="shared" si="940"/>
        <v>127.77777777777779</v>
      </c>
      <c r="J1524" t="s">
        <v>163</v>
      </c>
      <c r="K1524">
        <v>197</v>
      </c>
      <c r="M1524">
        <f t="shared" si="974"/>
        <v>109.44444444444444</v>
      </c>
      <c r="N1524">
        <f t="shared" si="975"/>
        <v>18.333333333333343</v>
      </c>
    </row>
    <row r="1525" spans="1:14" x14ac:dyDescent="0.25">
      <c r="A1525">
        <v>107</v>
      </c>
      <c r="B1525" s="1">
        <v>43934</v>
      </c>
      <c r="C1525" t="s">
        <v>319</v>
      </c>
      <c r="D1525" t="s">
        <v>24</v>
      </c>
      <c r="F1525" t="s">
        <v>24</v>
      </c>
      <c r="G1525">
        <v>0.5</v>
      </c>
      <c r="H1525">
        <v>100</v>
      </c>
      <c r="I1525">
        <f t="shared" si="940"/>
        <v>50</v>
      </c>
      <c r="J1525" t="s">
        <v>186</v>
      </c>
      <c r="K1525">
        <v>68.22</v>
      </c>
      <c r="M1525">
        <f t="shared" ref="M1525:M1527" si="976">+K1525*G1525</f>
        <v>34.11</v>
      </c>
      <c r="N1525">
        <f t="shared" ref="N1525:N1527" si="977">+I1525-M1525</f>
        <v>15.89</v>
      </c>
    </row>
    <row r="1526" spans="1:14" x14ac:dyDescent="0.25">
      <c r="A1526">
        <v>108</v>
      </c>
      <c r="B1526" s="1">
        <v>43934</v>
      </c>
      <c r="C1526" t="s">
        <v>319</v>
      </c>
      <c r="D1526" t="s">
        <v>56</v>
      </c>
      <c r="F1526" t="s">
        <v>267</v>
      </c>
      <c r="G1526">
        <v>1</v>
      </c>
      <c r="H1526">
        <v>170</v>
      </c>
      <c r="I1526">
        <f t="shared" si="940"/>
        <v>170</v>
      </c>
      <c r="J1526" t="s">
        <v>163</v>
      </c>
      <c r="K1526">
        <v>121</v>
      </c>
      <c r="M1526">
        <f t="shared" si="976"/>
        <v>121</v>
      </c>
      <c r="N1526">
        <f t="shared" si="977"/>
        <v>49</v>
      </c>
    </row>
    <row r="1527" spans="1:14" x14ac:dyDescent="0.25">
      <c r="A1527">
        <v>109</v>
      </c>
      <c r="B1527" s="1">
        <v>43934</v>
      </c>
      <c r="C1527" t="s">
        <v>319</v>
      </c>
      <c r="D1527" t="s">
        <v>15</v>
      </c>
      <c r="F1527" t="s">
        <v>252</v>
      </c>
      <c r="G1527">
        <f>5/9</f>
        <v>0.55555555555555558</v>
      </c>
      <c r="H1527">
        <v>280</v>
      </c>
      <c r="I1527">
        <f t="shared" si="940"/>
        <v>155.55555555555557</v>
      </c>
      <c r="J1527" t="s">
        <v>163</v>
      </c>
      <c r="K1527">
        <v>216</v>
      </c>
      <c r="M1527">
        <f t="shared" si="976"/>
        <v>120</v>
      </c>
      <c r="N1527">
        <f t="shared" si="977"/>
        <v>35.555555555555571</v>
      </c>
    </row>
    <row r="1528" spans="1:14" x14ac:dyDescent="0.25">
      <c r="A1528">
        <v>110</v>
      </c>
      <c r="B1528" s="1">
        <v>43934</v>
      </c>
      <c r="C1528" t="s">
        <v>319</v>
      </c>
      <c r="D1528" t="s">
        <v>24</v>
      </c>
      <c r="F1528" t="s">
        <v>24</v>
      </c>
      <c r="G1528">
        <v>1</v>
      </c>
      <c r="H1528">
        <v>100</v>
      </c>
      <c r="I1528">
        <f t="shared" si="940"/>
        <v>100</v>
      </c>
      <c r="J1528" t="s">
        <v>186</v>
      </c>
      <c r="K1528">
        <v>68.22</v>
      </c>
      <c r="M1528">
        <f t="shared" ref="M1528" si="978">+K1528*G1528</f>
        <v>68.22</v>
      </c>
      <c r="N1528">
        <f t="shared" ref="N1528" si="979">+I1528-M1528</f>
        <v>31.78</v>
      </c>
    </row>
    <row r="1529" spans="1:14" x14ac:dyDescent="0.25">
      <c r="A1529">
        <v>111</v>
      </c>
      <c r="B1529" s="1">
        <v>43934</v>
      </c>
      <c r="C1529" t="s">
        <v>319</v>
      </c>
      <c r="D1529" t="s">
        <v>56</v>
      </c>
      <c r="F1529" t="s">
        <v>38</v>
      </c>
      <c r="G1529">
        <v>1</v>
      </c>
      <c r="H1529">
        <v>110</v>
      </c>
      <c r="I1529">
        <f t="shared" si="940"/>
        <v>110</v>
      </c>
      <c r="J1529" t="s">
        <v>164</v>
      </c>
      <c r="K1529">
        <v>70</v>
      </c>
      <c r="M1529">
        <f t="shared" ref="M1529:M1530" si="980">+K1529*G1529</f>
        <v>70</v>
      </c>
      <c r="N1529">
        <f t="shared" ref="N1529:N1530" si="981">+I1529-M1529</f>
        <v>40</v>
      </c>
    </row>
    <row r="1530" spans="1:14" x14ac:dyDescent="0.25">
      <c r="A1530">
        <v>112</v>
      </c>
      <c r="B1530" s="1">
        <v>43934</v>
      </c>
      <c r="C1530" t="s">
        <v>319</v>
      </c>
      <c r="D1530" t="s">
        <v>15</v>
      </c>
      <c r="F1530" t="s">
        <v>80</v>
      </c>
      <c r="G1530">
        <v>19</v>
      </c>
      <c r="H1530">
        <v>240</v>
      </c>
      <c r="I1530">
        <f t="shared" si="940"/>
        <v>4560</v>
      </c>
      <c r="J1530" t="s">
        <v>163</v>
      </c>
      <c r="K1530">
        <v>213</v>
      </c>
      <c r="M1530">
        <f t="shared" si="980"/>
        <v>4047</v>
      </c>
      <c r="N1530">
        <f t="shared" si="981"/>
        <v>513</v>
      </c>
    </row>
    <row r="1531" spans="1:14" x14ac:dyDescent="0.25">
      <c r="A1531">
        <v>113</v>
      </c>
      <c r="B1531" s="1">
        <v>43934</v>
      </c>
      <c r="C1531" t="s">
        <v>319</v>
      </c>
      <c r="D1531" t="s">
        <v>55</v>
      </c>
      <c r="F1531" t="s">
        <v>22</v>
      </c>
      <c r="G1531">
        <f>8/17</f>
        <v>0.47058823529411764</v>
      </c>
      <c r="H1531">
        <v>300</v>
      </c>
      <c r="I1531">
        <f t="shared" si="940"/>
        <v>141.1764705882353</v>
      </c>
      <c r="J1531" t="s">
        <v>13</v>
      </c>
      <c r="K1531">
        <v>280</v>
      </c>
      <c r="M1531">
        <f t="shared" ref="M1531" si="982">+K1531*G1531</f>
        <v>131.76470588235293</v>
      </c>
      <c r="N1531">
        <f t="shared" ref="N1531" si="983">+I1531-M1531</f>
        <v>9.4117647058823763</v>
      </c>
    </row>
    <row r="1532" spans="1:14" x14ac:dyDescent="0.25">
      <c r="A1532">
        <v>114</v>
      </c>
      <c r="B1532" s="1">
        <v>43934</v>
      </c>
      <c r="C1532" t="s">
        <v>319</v>
      </c>
      <c r="D1532" t="s">
        <v>92</v>
      </c>
      <c r="F1532" t="s">
        <v>126</v>
      </c>
      <c r="G1532">
        <v>1</v>
      </c>
      <c r="H1532">
        <v>350</v>
      </c>
      <c r="I1532">
        <f t="shared" si="940"/>
        <v>350</v>
      </c>
      <c r="J1532" t="s">
        <v>166</v>
      </c>
    </row>
    <row r="1533" spans="1:14" x14ac:dyDescent="0.25">
      <c r="A1533">
        <v>115</v>
      </c>
      <c r="B1533" s="1">
        <v>43934</v>
      </c>
      <c r="C1533" t="s">
        <v>319</v>
      </c>
      <c r="D1533" t="s">
        <v>15</v>
      </c>
      <c r="F1533" t="s">
        <v>76</v>
      </c>
      <c r="G1533">
        <v>20</v>
      </c>
      <c r="H1533">
        <v>230</v>
      </c>
      <c r="I1533">
        <f t="shared" si="940"/>
        <v>4600</v>
      </c>
      <c r="J1533" t="s">
        <v>163</v>
      </c>
      <c r="K1533">
        <v>201</v>
      </c>
      <c r="M1533">
        <f t="shared" ref="M1533" si="984">+K1533*G1533</f>
        <v>4020</v>
      </c>
      <c r="N1533">
        <f t="shared" ref="N1533" si="985">+I1533-M1533</f>
        <v>580</v>
      </c>
    </row>
    <row r="1534" spans="1:14" x14ac:dyDescent="0.25">
      <c r="A1534">
        <v>116</v>
      </c>
      <c r="B1534" s="1">
        <v>43934</v>
      </c>
      <c r="C1534" t="s">
        <v>319</v>
      </c>
      <c r="D1534" t="s">
        <v>15</v>
      </c>
      <c r="F1534" t="s">
        <v>17</v>
      </c>
      <c r="G1534">
        <v>6</v>
      </c>
      <c r="H1534">
        <v>360</v>
      </c>
      <c r="I1534">
        <f t="shared" ref="I1534:I1598" si="986">+G1534*H1534</f>
        <v>2160</v>
      </c>
      <c r="J1534" t="s">
        <v>13</v>
      </c>
      <c r="K1534">
        <v>330</v>
      </c>
      <c r="M1534">
        <f t="shared" ref="M1534:M1535" si="987">+K1534*G1534</f>
        <v>1980</v>
      </c>
      <c r="N1534">
        <f t="shared" ref="N1534:N1535" si="988">+I1534-M1534</f>
        <v>180</v>
      </c>
    </row>
    <row r="1535" spans="1:14" x14ac:dyDescent="0.25">
      <c r="A1535">
        <v>117</v>
      </c>
      <c r="B1535" s="1">
        <v>43934</v>
      </c>
      <c r="C1535" t="s">
        <v>319</v>
      </c>
      <c r="D1535" t="s">
        <v>15</v>
      </c>
      <c r="F1535" t="s">
        <v>33</v>
      </c>
      <c r="G1535">
        <v>12</v>
      </c>
      <c r="H1535">
        <v>230</v>
      </c>
      <c r="I1535">
        <f t="shared" si="986"/>
        <v>2760</v>
      </c>
      <c r="J1535" t="s">
        <v>163</v>
      </c>
      <c r="K1535">
        <v>204</v>
      </c>
      <c r="M1535">
        <f t="shared" si="987"/>
        <v>2448</v>
      </c>
      <c r="N1535">
        <f t="shared" si="988"/>
        <v>312</v>
      </c>
    </row>
    <row r="1536" spans="1:14" x14ac:dyDescent="0.25">
      <c r="A1536">
        <v>118</v>
      </c>
      <c r="B1536" s="1">
        <v>43934</v>
      </c>
      <c r="C1536" t="s">
        <v>319</v>
      </c>
      <c r="D1536" t="s">
        <v>24</v>
      </c>
      <c r="F1536" t="s">
        <v>24</v>
      </c>
      <c r="G1536">
        <v>3</v>
      </c>
      <c r="H1536">
        <v>90</v>
      </c>
      <c r="I1536">
        <f t="shared" si="986"/>
        <v>270</v>
      </c>
      <c r="J1536" t="s">
        <v>186</v>
      </c>
      <c r="K1536">
        <v>68.22</v>
      </c>
      <c r="M1536">
        <f t="shared" ref="M1536:M1541" si="989">+K1536*G1536</f>
        <v>204.66</v>
      </c>
      <c r="N1536">
        <f t="shared" ref="N1536:N1541" si="990">+I1536-M1536</f>
        <v>65.34</v>
      </c>
    </row>
    <row r="1537" spans="1:14" x14ac:dyDescent="0.25">
      <c r="A1537">
        <v>119</v>
      </c>
      <c r="B1537" s="1">
        <v>43934</v>
      </c>
      <c r="C1537" t="s">
        <v>319</v>
      </c>
      <c r="D1537" t="s">
        <v>25</v>
      </c>
      <c r="F1537" t="s">
        <v>172</v>
      </c>
      <c r="G1537">
        <v>1</v>
      </c>
      <c r="H1537">
        <v>100</v>
      </c>
      <c r="I1537">
        <f t="shared" si="986"/>
        <v>100</v>
      </c>
      <c r="J1537" t="s">
        <v>163</v>
      </c>
      <c r="K1537">
        <v>69</v>
      </c>
      <c r="M1537">
        <f t="shared" si="989"/>
        <v>69</v>
      </c>
      <c r="N1537">
        <f t="shared" si="990"/>
        <v>31</v>
      </c>
    </row>
    <row r="1538" spans="1:14" x14ac:dyDescent="0.25">
      <c r="A1538">
        <v>120</v>
      </c>
      <c r="B1538" s="1">
        <v>43934</v>
      </c>
      <c r="C1538" t="s">
        <v>319</v>
      </c>
      <c r="D1538" t="s">
        <v>25</v>
      </c>
      <c r="F1538" t="s">
        <v>172</v>
      </c>
      <c r="G1538">
        <v>1</v>
      </c>
      <c r="H1538">
        <v>100</v>
      </c>
      <c r="I1538">
        <f t="shared" si="986"/>
        <v>100</v>
      </c>
      <c r="J1538" t="s">
        <v>163</v>
      </c>
      <c r="K1538">
        <v>69</v>
      </c>
      <c r="M1538">
        <f t="shared" si="989"/>
        <v>69</v>
      </c>
      <c r="N1538">
        <f t="shared" si="990"/>
        <v>31</v>
      </c>
    </row>
    <row r="1539" spans="1:14" x14ac:dyDescent="0.25">
      <c r="A1539">
        <v>121</v>
      </c>
      <c r="B1539" s="1">
        <v>43934</v>
      </c>
      <c r="C1539" t="s">
        <v>319</v>
      </c>
      <c r="D1539" t="s">
        <v>15</v>
      </c>
      <c r="F1539" t="s">
        <v>295</v>
      </c>
      <c r="G1539">
        <v>15</v>
      </c>
      <c r="H1539">
        <v>230</v>
      </c>
      <c r="I1539">
        <f t="shared" si="986"/>
        <v>3450</v>
      </c>
      <c r="J1539" t="s">
        <v>163</v>
      </c>
      <c r="K1539">
        <v>177</v>
      </c>
      <c r="M1539">
        <f t="shared" si="989"/>
        <v>2655</v>
      </c>
      <c r="N1539">
        <f t="shared" si="990"/>
        <v>795</v>
      </c>
    </row>
    <row r="1540" spans="1:14" x14ac:dyDescent="0.25">
      <c r="A1540">
        <v>122</v>
      </c>
      <c r="B1540" s="1">
        <v>43934</v>
      </c>
      <c r="C1540" t="s">
        <v>319</v>
      </c>
      <c r="D1540" t="s">
        <v>15</v>
      </c>
      <c r="F1540" t="s">
        <v>54</v>
      </c>
      <c r="G1540">
        <v>25</v>
      </c>
      <c r="H1540">
        <v>240</v>
      </c>
      <c r="I1540">
        <f t="shared" si="986"/>
        <v>6000</v>
      </c>
      <c r="J1540" t="s">
        <v>163</v>
      </c>
      <c r="K1540">
        <v>214</v>
      </c>
      <c r="M1540">
        <f t="shared" si="989"/>
        <v>5350</v>
      </c>
      <c r="N1540">
        <f t="shared" si="990"/>
        <v>650</v>
      </c>
    </row>
    <row r="1541" spans="1:14" x14ac:dyDescent="0.25">
      <c r="A1541">
        <v>123</v>
      </c>
      <c r="B1541" s="1">
        <v>43935</v>
      </c>
      <c r="C1541" t="s">
        <v>319</v>
      </c>
      <c r="D1541" t="s">
        <v>15</v>
      </c>
      <c r="F1541" t="s">
        <v>31</v>
      </c>
      <c r="G1541">
        <f>2/9</f>
        <v>0.22222222222222221</v>
      </c>
      <c r="H1541">
        <v>280</v>
      </c>
      <c r="I1541">
        <f t="shared" si="986"/>
        <v>62.222222222222221</v>
      </c>
      <c r="J1541" t="s">
        <v>163</v>
      </c>
      <c r="K1541">
        <v>216</v>
      </c>
      <c r="M1541">
        <f t="shared" si="989"/>
        <v>48</v>
      </c>
      <c r="N1541">
        <f t="shared" si="990"/>
        <v>14.222222222222221</v>
      </c>
    </row>
    <row r="1542" spans="1:14" x14ac:dyDescent="0.25">
      <c r="A1542">
        <v>124</v>
      </c>
      <c r="B1542" s="1">
        <v>43935</v>
      </c>
      <c r="C1542" t="s">
        <v>319</v>
      </c>
      <c r="D1542" t="s">
        <v>70</v>
      </c>
      <c r="F1542" t="s">
        <v>227</v>
      </c>
      <c r="G1542">
        <v>1</v>
      </c>
      <c r="H1542">
        <v>1650</v>
      </c>
      <c r="I1542">
        <f t="shared" si="986"/>
        <v>1650</v>
      </c>
      <c r="J1542" t="s">
        <v>167</v>
      </c>
      <c r="K1542">
        <v>1440</v>
      </c>
      <c r="M1542">
        <f t="shared" ref="M1542:M1547" si="991">+K1542*G1542</f>
        <v>1440</v>
      </c>
      <c r="N1542">
        <f t="shared" ref="N1542:N1547" si="992">+I1542-M1542</f>
        <v>210</v>
      </c>
    </row>
    <row r="1543" spans="1:14" x14ac:dyDescent="0.25">
      <c r="A1543">
        <v>125</v>
      </c>
      <c r="B1543" s="1">
        <v>43935</v>
      </c>
      <c r="C1543" t="s">
        <v>319</v>
      </c>
      <c r="D1543" t="s">
        <v>56</v>
      </c>
      <c r="F1543" t="s">
        <v>267</v>
      </c>
      <c r="G1543">
        <v>1</v>
      </c>
      <c r="H1543">
        <v>170</v>
      </c>
      <c r="I1543">
        <f t="shared" si="986"/>
        <v>170</v>
      </c>
      <c r="J1543" t="s">
        <v>163</v>
      </c>
      <c r="K1543">
        <v>121</v>
      </c>
      <c r="M1543">
        <f t="shared" si="991"/>
        <v>121</v>
      </c>
      <c r="N1543">
        <f t="shared" si="992"/>
        <v>49</v>
      </c>
    </row>
    <row r="1544" spans="1:14" x14ac:dyDescent="0.25">
      <c r="A1544">
        <v>126</v>
      </c>
      <c r="B1544" s="1">
        <v>43935</v>
      </c>
      <c r="C1544" t="s">
        <v>319</v>
      </c>
      <c r="D1544" t="s">
        <v>70</v>
      </c>
      <c r="F1544" t="s">
        <v>152</v>
      </c>
      <c r="G1544">
        <v>1</v>
      </c>
      <c r="H1544">
        <v>85</v>
      </c>
      <c r="I1544">
        <f t="shared" si="986"/>
        <v>85</v>
      </c>
      <c r="J1544" t="s">
        <v>163</v>
      </c>
      <c r="K1544">
        <v>69</v>
      </c>
      <c r="M1544">
        <f t="shared" si="991"/>
        <v>69</v>
      </c>
      <c r="N1544">
        <f t="shared" si="992"/>
        <v>16</v>
      </c>
    </row>
    <row r="1545" spans="1:14" x14ac:dyDescent="0.25">
      <c r="A1545">
        <v>127</v>
      </c>
      <c r="B1545" s="1">
        <v>43935</v>
      </c>
      <c r="C1545" t="s">
        <v>319</v>
      </c>
      <c r="D1545" t="s">
        <v>15</v>
      </c>
      <c r="F1545" t="s">
        <v>261</v>
      </c>
      <c r="G1545">
        <v>1</v>
      </c>
      <c r="H1545">
        <v>240</v>
      </c>
      <c r="I1545">
        <f t="shared" si="986"/>
        <v>240</v>
      </c>
      <c r="J1545" t="s">
        <v>163</v>
      </c>
      <c r="K1545">
        <v>204</v>
      </c>
      <c r="M1545">
        <f t="shared" si="991"/>
        <v>204</v>
      </c>
      <c r="N1545">
        <f t="shared" si="992"/>
        <v>36</v>
      </c>
    </row>
    <row r="1546" spans="1:14" x14ac:dyDescent="0.25">
      <c r="A1546">
        <v>128</v>
      </c>
      <c r="B1546" s="1">
        <v>43935</v>
      </c>
      <c r="C1546" t="s">
        <v>319</v>
      </c>
      <c r="D1546" t="s">
        <v>15</v>
      </c>
      <c r="F1546" t="s">
        <v>261</v>
      </c>
      <c r="G1546">
        <f>3/8</f>
        <v>0.375</v>
      </c>
      <c r="H1546">
        <v>240</v>
      </c>
      <c r="I1546">
        <f t="shared" si="986"/>
        <v>90</v>
      </c>
      <c r="J1546" t="s">
        <v>163</v>
      </c>
      <c r="K1546">
        <v>204</v>
      </c>
      <c r="M1546">
        <f t="shared" si="991"/>
        <v>76.5</v>
      </c>
      <c r="N1546">
        <f t="shared" si="992"/>
        <v>13.5</v>
      </c>
    </row>
    <row r="1547" spans="1:14" x14ac:dyDescent="0.25">
      <c r="A1547">
        <v>129</v>
      </c>
      <c r="B1547" s="1">
        <v>43935</v>
      </c>
      <c r="C1547" t="s">
        <v>319</v>
      </c>
      <c r="D1547" t="s">
        <v>15</v>
      </c>
      <c r="F1547" t="s">
        <v>76</v>
      </c>
      <c r="G1547">
        <f>1/8</f>
        <v>0.125</v>
      </c>
      <c r="H1547">
        <v>230</v>
      </c>
      <c r="I1547">
        <f t="shared" si="986"/>
        <v>28.75</v>
      </c>
      <c r="J1547" t="s">
        <v>163</v>
      </c>
      <c r="K1547">
        <v>201</v>
      </c>
      <c r="M1547">
        <f t="shared" si="991"/>
        <v>25.125</v>
      </c>
      <c r="N1547">
        <f t="shared" si="992"/>
        <v>3.625</v>
      </c>
    </row>
    <row r="1548" spans="1:14" x14ac:dyDescent="0.25">
      <c r="A1548">
        <v>130</v>
      </c>
      <c r="B1548" s="1">
        <v>43935</v>
      </c>
      <c r="C1548" t="s">
        <v>319</v>
      </c>
      <c r="D1548" t="s">
        <v>70</v>
      </c>
      <c r="F1548" t="s">
        <v>227</v>
      </c>
      <c r="G1548">
        <v>1</v>
      </c>
      <c r="H1548">
        <v>1650</v>
      </c>
      <c r="I1548">
        <f t="shared" si="986"/>
        <v>1650</v>
      </c>
      <c r="J1548" t="s">
        <v>167</v>
      </c>
      <c r="K1548">
        <v>1440</v>
      </c>
      <c r="M1548">
        <f t="shared" ref="M1548:M1549" si="993">+K1548*G1548</f>
        <v>1440</v>
      </c>
      <c r="N1548">
        <f t="shared" ref="N1548:N1549" si="994">+I1548-M1548</f>
        <v>210</v>
      </c>
    </row>
    <row r="1549" spans="1:14" x14ac:dyDescent="0.25">
      <c r="A1549">
        <v>131</v>
      </c>
      <c r="B1549" s="1">
        <v>43936</v>
      </c>
      <c r="C1549" t="s">
        <v>319</v>
      </c>
      <c r="D1549" t="s">
        <v>15</v>
      </c>
      <c r="F1549" t="s">
        <v>296</v>
      </c>
      <c r="G1549">
        <v>5</v>
      </c>
      <c r="H1549">
        <v>240</v>
      </c>
      <c r="I1549">
        <f t="shared" si="986"/>
        <v>1200</v>
      </c>
      <c r="J1549" t="s">
        <v>163</v>
      </c>
      <c r="K1549">
        <v>177</v>
      </c>
      <c r="M1549">
        <f t="shared" si="993"/>
        <v>885</v>
      </c>
      <c r="N1549">
        <f t="shared" si="994"/>
        <v>315</v>
      </c>
    </row>
    <row r="1550" spans="1:14" x14ac:dyDescent="0.25">
      <c r="A1550">
        <v>132</v>
      </c>
      <c r="B1550" s="1">
        <v>43936</v>
      </c>
      <c r="C1550" t="s">
        <v>319</v>
      </c>
      <c r="D1550" t="s">
        <v>55</v>
      </c>
      <c r="F1550" t="s">
        <v>22</v>
      </c>
      <c r="G1550">
        <v>4</v>
      </c>
      <c r="H1550">
        <v>300</v>
      </c>
      <c r="I1550">
        <f t="shared" si="986"/>
        <v>1200</v>
      </c>
      <c r="J1550" t="s">
        <v>13</v>
      </c>
      <c r="K1550">
        <v>280</v>
      </c>
      <c r="M1550">
        <f t="shared" ref="M1550:M1552" si="995">+K1550*G1550</f>
        <v>1120</v>
      </c>
      <c r="N1550">
        <f t="shared" ref="N1550:N1552" si="996">+I1550-M1550</f>
        <v>80</v>
      </c>
    </row>
    <row r="1551" spans="1:14" x14ac:dyDescent="0.25">
      <c r="A1551">
        <v>133</v>
      </c>
      <c r="B1551" s="1">
        <v>43936</v>
      </c>
      <c r="C1551" t="s">
        <v>319</v>
      </c>
      <c r="D1551" t="s">
        <v>25</v>
      </c>
      <c r="F1551" t="s">
        <v>315</v>
      </c>
      <c r="G1551">
        <v>3</v>
      </c>
      <c r="H1551">
        <v>100</v>
      </c>
      <c r="I1551">
        <f t="shared" si="986"/>
        <v>300</v>
      </c>
      <c r="J1551" t="s">
        <v>163</v>
      </c>
      <c r="K1551">
        <v>52</v>
      </c>
      <c r="M1551">
        <f t="shared" si="995"/>
        <v>156</v>
      </c>
      <c r="N1551">
        <f t="shared" si="996"/>
        <v>144</v>
      </c>
    </row>
    <row r="1552" spans="1:14" x14ac:dyDescent="0.25">
      <c r="A1552">
        <v>134</v>
      </c>
      <c r="B1552" s="1">
        <v>43936</v>
      </c>
      <c r="C1552" t="s">
        <v>319</v>
      </c>
      <c r="D1552" t="s">
        <v>15</v>
      </c>
      <c r="F1552" t="s">
        <v>297</v>
      </c>
      <c r="G1552">
        <f>2/9</f>
        <v>0.22222222222222221</v>
      </c>
      <c r="H1552">
        <v>240</v>
      </c>
      <c r="I1552">
        <f t="shared" si="986"/>
        <v>53.333333333333329</v>
      </c>
      <c r="J1552" t="s">
        <v>163</v>
      </c>
      <c r="K1552">
        <v>207</v>
      </c>
      <c r="M1552">
        <f t="shared" si="995"/>
        <v>46</v>
      </c>
      <c r="N1552">
        <f t="shared" si="996"/>
        <v>7.3333333333333286</v>
      </c>
    </row>
    <row r="1553" spans="1:14" x14ac:dyDescent="0.25">
      <c r="A1553">
        <v>135</v>
      </c>
      <c r="B1553" s="1">
        <v>43936</v>
      </c>
      <c r="C1553" t="s">
        <v>319</v>
      </c>
      <c r="D1553" t="s">
        <v>25</v>
      </c>
      <c r="F1553" t="s">
        <v>305</v>
      </c>
      <c r="G1553">
        <v>1</v>
      </c>
      <c r="H1553">
        <v>60</v>
      </c>
      <c r="I1553">
        <f t="shared" si="986"/>
        <v>60</v>
      </c>
      <c r="J1553" t="s">
        <v>165</v>
      </c>
      <c r="K1553">
        <f t="shared" ref="K1553" si="997">380/12</f>
        <v>31.666666666666668</v>
      </c>
      <c r="M1553">
        <f t="shared" ref="M1553:M1555" si="998">+K1553*G1553</f>
        <v>31.666666666666668</v>
      </c>
      <c r="N1553">
        <f t="shared" ref="N1553:N1555" si="999">+I1553-M1553</f>
        <v>28.333333333333332</v>
      </c>
    </row>
    <row r="1554" spans="1:14" x14ac:dyDescent="0.25">
      <c r="A1554">
        <v>136</v>
      </c>
      <c r="B1554" s="1">
        <v>43936</v>
      </c>
      <c r="C1554" t="s">
        <v>319</v>
      </c>
      <c r="D1554" t="s">
        <v>15</v>
      </c>
      <c r="F1554" t="s">
        <v>29</v>
      </c>
      <c r="G1554">
        <v>6</v>
      </c>
      <c r="H1554">
        <v>230</v>
      </c>
      <c r="I1554">
        <f t="shared" si="986"/>
        <v>1380</v>
      </c>
      <c r="J1554" t="s">
        <v>163</v>
      </c>
      <c r="K1554">
        <v>197</v>
      </c>
      <c r="M1554">
        <f t="shared" si="998"/>
        <v>1182</v>
      </c>
      <c r="N1554">
        <f t="shared" si="999"/>
        <v>198</v>
      </c>
    </row>
    <row r="1555" spans="1:14" x14ac:dyDescent="0.25">
      <c r="A1555">
        <v>137</v>
      </c>
      <c r="B1555" s="1">
        <v>43936</v>
      </c>
      <c r="C1555" t="s">
        <v>319</v>
      </c>
      <c r="D1555" t="s">
        <v>56</v>
      </c>
      <c r="F1555" t="s">
        <v>267</v>
      </c>
      <c r="G1555">
        <v>2</v>
      </c>
      <c r="H1555">
        <v>170</v>
      </c>
      <c r="I1555">
        <f t="shared" si="986"/>
        <v>340</v>
      </c>
      <c r="J1555" t="s">
        <v>163</v>
      </c>
      <c r="K1555">
        <v>121</v>
      </c>
      <c r="M1555">
        <f t="shared" si="998"/>
        <v>242</v>
      </c>
      <c r="N1555">
        <f t="shared" si="999"/>
        <v>98</v>
      </c>
    </row>
    <row r="1556" spans="1:14" x14ac:dyDescent="0.25">
      <c r="A1556">
        <v>138</v>
      </c>
      <c r="B1556" s="1">
        <v>43936</v>
      </c>
      <c r="C1556" t="s">
        <v>319</v>
      </c>
      <c r="D1556" t="s">
        <v>56</v>
      </c>
      <c r="F1556" t="s">
        <v>38</v>
      </c>
      <c r="G1556">
        <v>1</v>
      </c>
      <c r="H1556">
        <v>110</v>
      </c>
      <c r="I1556">
        <f t="shared" si="986"/>
        <v>110</v>
      </c>
      <c r="J1556" t="s">
        <v>164</v>
      </c>
      <c r="K1556">
        <v>70</v>
      </c>
      <c r="M1556">
        <f t="shared" ref="M1556:M1557" si="1000">+K1556*G1556</f>
        <v>70</v>
      </c>
      <c r="N1556">
        <f t="shared" ref="N1556:N1557" si="1001">+I1556-M1556</f>
        <v>40</v>
      </c>
    </row>
    <row r="1557" spans="1:14" x14ac:dyDescent="0.25">
      <c r="A1557">
        <v>139</v>
      </c>
      <c r="B1557" s="1">
        <v>43937</v>
      </c>
      <c r="C1557" t="s">
        <v>319</v>
      </c>
      <c r="D1557" t="s">
        <v>15</v>
      </c>
      <c r="F1557" t="s">
        <v>297</v>
      </c>
      <c r="G1557">
        <v>9</v>
      </c>
      <c r="H1557">
        <v>240</v>
      </c>
      <c r="I1557">
        <f t="shared" si="986"/>
        <v>2160</v>
      </c>
      <c r="J1557" t="s">
        <v>163</v>
      </c>
      <c r="K1557">
        <v>207</v>
      </c>
      <c r="M1557">
        <f t="shared" si="1000"/>
        <v>1863</v>
      </c>
      <c r="N1557">
        <f t="shared" si="1001"/>
        <v>297</v>
      </c>
    </row>
    <row r="1558" spans="1:14" x14ac:dyDescent="0.25">
      <c r="A1558">
        <v>140</v>
      </c>
      <c r="B1558" s="1">
        <v>43937</v>
      </c>
      <c r="C1558" t="s">
        <v>319</v>
      </c>
      <c r="D1558" t="s">
        <v>25</v>
      </c>
      <c r="F1558" t="s">
        <v>71</v>
      </c>
      <c r="G1558">
        <v>1</v>
      </c>
      <c r="H1558">
        <v>60</v>
      </c>
      <c r="I1558">
        <f t="shared" si="986"/>
        <v>60</v>
      </c>
      <c r="J1558" t="s">
        <v>165</v>
      </c>
      <c r="K1558">
        <f t="shared" ref="K1558" si="1002">380/12</f>
        <v>31.666666666666668</v>
      </c>
      <c r="M1558">
        <f t="shared" ref="M1558:M1559" si="1003">+K1558*G1558</f>
        <v>31.666666666666668</v>
      </c>
      <c r="N1558">
        <f t="shared" ref="N1558:N1559" si="1004">+I1558-M1558</f>
        <v>28.333333333333332</v>
      </c>
    </row>
    <row r="1559" spans="1:14" x14ac:dyDescent="0.25">
      <c r="A1559">
        <v>141</v>
      </c>
      <c r="B1559" s="1">
        <v>43937</v>
      </c>
      <c r="C1559" t="s">
        <v>319</v>
      </c>
      <c r="D1559" t="s">
        <v>15</v>
      </c>
      <c r="F1559" t="s">
        <v>131</v>
      </c>
      <c r="G1559">
        <v>8</v>
      </c>
      <c r="H1559">
        <v>300</v>
      </c>
      <c r="I1559">
        <f t="shared" si="986"/>
        <v>2400</v>
      </c>
      <c r="J1559" t="s">
        <v>13</v>
      </c>
      <c r="K1559">
        <v>280</v>
      </c>
      <c r="M1559">
        <f t="shared" si="1003"/>
        <v>2240</v>
      </c>
      <c r="N1559">
        <f t="shared" si="1004"/>
        <v>160</v>
      </c>
    </row>
    <row r="1560" spans="1:14" x14ac:dyDescent="0.25">
      <c r="A1560">
        <v>142</v>
      </c>
      <c r="B1560" s="1">
        <v>43937</v>
      </c>
      <c r="C1560" t="s">
        <v>319</v>
      </c>
      <c r="D1560" t="s">
        <v>23</v>
      </c>
      <c r="F1560" t="s">
        <v>316</v>
      </c>
      <c r="G1560">
        <v>1</v>
      </c>
      <c r="H1560">
        <v>60</v>
      </c>
      <c r="I1560">
        <f t="shared" si="986"/>
        <v>60</v>
      </c>
      <c r="J1560" t="s">
        <v>187</v>
      </c>
      <c r="K1560">
        <v>40</v>
      </c>
      <c r="M1560">
        <f t="shared" ref="M1560:M1565" si="1005">+K1560*G1560</f>
        <v>40</v>
      </c>
      <c r="N1560">
        <f t="shared" ref="N1560:N1565" si="1006">+I1560-M1560</f>
        <v>20</v>
      </c>
    </row>
    <row r="1561" spans="1:14" x14ac:dyDescent="0.25">
      <c r="A1561">
        <v>143</v>
      </c>
      <c r="B1561" s="1">
        <v>43937</v>
      </c>
      <c r="C1561" t="s">
        <v>319</v>
      </c>
      <c r="D1561" t="s">
        <v>55</v>
      </c>
      <c r="F1561" t="s">
        <v>22</v>
      </c>
      <c r="G1561">
        <f>12/17</f>
        <v>0.70588235294117652</v>
      </c>
      <c r="H1561">
        <v>300</v>
      </c>
      <c r="I1561">
        <f t="shared" si="986"/>
        <v>211.76470588235296</v>
      </c>
      <c r="J1561" t="s">
        <v>13</v>
      </c>
      <c r="K1561">
        <v>280</v>
      </c>
      <c r="M1561">
        <f t="shared" si="1005"/>
        <v>197.64705882352942</v>
      </c>
      <c r="N1561">
        <f t="shared" si="1006"/>
        <v>14.117647058823536</v>
      </c>
    </row>
    <row r="1562" spans="1:14" x14ac:dyDescent="0.25">
      <c r="A1562">
        <v>144</v>
      </c>
      <c r="B1562" s="1">
        <v>43937</v>
      </c>
      <c r="C1562" t="s">
        <v>319</v>
      </c>
      <c r="D1562" t="s">
        <v>25</v>
      </c>
      <c r="F1562" t="s">
        <v>173</v>
      </c>
      <c r="G1562">
        <v>1</v>
      </c>
      <c r="H1562">
        <v>100</v>
      </c>
      <c r="I1562">
        <f t="shared" si="986"/>
        <v>100</v>
      </c>
      <c r="J1562" t="s">
        <v>163</v>
      </c>
      <c r="K1562">
        <v>69</v>
      </c>
      <c r="M1562">
        <f t="shared" si="1005"/>
        <v>69</v>
      </c>
      <c r="N1562">
        <f t="shared" si="1006"/>
        <v>31</v>
      </c>
    </row>
    <row r="1563" spans="1:14" x14ac:dyDescent="0.25">
      <c r="A1563">
        <v>145</v>
      </c>
      <c r="B1563" s="1">
        <v>43937</v>
      </c>
      <c r="C1563" t="s">
        <v>319</v>
      </c>
      <c r="D1563" t="s">
        <v>25</v>
      </c>
      <c r="F1563" t="s">
        <v>139</v>
      </c>
      <c r="G1563">
        <v>1</v>
      </c>
      <c r="H1563">
        <v>100</v>
      </c>
      <c r="I1563">
        <f t="shared" si="986"/>
        <v>100</v>
      </c>
      <c r="J1563" t="s">
        <v>163</v>
      </c>
      <c r="K1563">
        <v>69</v>
      </c>
      <c r="M1563">
        <f t="shared" si="1005"/>
        <v>69</v>
      </c>
      <c r="N1563">
        <f t="shared" si="1006"/>
        <v>31</v>
      </c>
    </row>
    <row r="1564" spans="1:14" x14ac:dyDescent="0.25">
      <c r="A1564">
        <v>146</v>
      </c>
      <c r="B1564" s="1">
        <v>43937</v>
      </c>
      <c r="C1564" t="s">
        <v>319</v>
      </c>
      <c r="D1564" t="s">
        <v>15</v>
      </c>
      <c r="F1564" t="s">
        <v>252</v>
      </c>
      <c r="G1564">
        <v>1</v>
      </c>
      <c r="H1564">
        <v>280</v>
      </c>
      <c r="I1564">
        <f t="shared" si="986"/>
        <v>280</v>
      </c>
      <c r="J1564" t="s">
        <v>163</v>
      </c>
      <c r="K1564">
        <v>216</v>
      </c>
      <c r="M1564">
        <f t="shared" si="1005"/>
        <v>216</v>
      </c>
      <c r="N1564">
        <f t="shared" si="1006"/>
        <v>64</v>
      </c>
    </row>
    <row r="1565" spans="1:14" x14ac:dyDescent="0.25">
      <c r="A1565">
        <v>147</v>
      </c>
      <c r="B1565" s="1">
        <v>43937</v>
      </c>
      <c r="C1565" t="s">
        <v>319</v>
      </c>
      <c r="D1565" t="s">
        <v>15</v>
      </c>
      <c r="F1565" t="s">
        <v>29</v>
      </c>
      <c r="G1565">
        <v>36</v>
      </c>
      <c r="H1565">
        <v>230</v>
      </c>
      <c r="I1565">
        <f t="shared" si="986"/>
        <v>8280</v>
      </c>
      <c r="J1565" t="s">
        <v>163</v>
      </c>
      <c r="K1565">
        <v>197</v>
      </c>
      <c r="M1565">
        <f t="shared" si="1005"/>
        <v>7092</v>
      </c>
      <c r="N1565">
        <f t="shared" si="1006"/>
        <v>1188</v>
      </c>
    </row>
    <row r="1566" spans="1:14" x14ac:dyDescent="0.25">
      <c r="A1566">
        <v>148</v>
      </c>
      <c r="B1566" s="1">
        <v>43937</v>
      </c>
      <c r="C1566" t="s">
        <v>319</v>
      </c>
      <c r="D1566" t="s">
        <v>25</v>
      </c>
      <c r="F1566" t="s">
        <v>60</v>
      </c>
      <c r="G1566">
        <v>3</v>
      </c>
      <c r="H1566">
        <v>60</v>
      </c>
      <c r="I1566">
        <f t="shared" si="986"/>
        <v>180</v>
      </c>
      <c r="J1566" t="s">
        <v>165</v>
      </c>
      <c r="K1566">
        <f t="shared" ref="K1566" si="1007">380/12</f>
        <v>31.666666666666668</v>
      </c>
      <c r="M1566">
        <f t="shared" ref="M1566:M1568" si="1008">+K1566*G1566</f>
        <v>95</v>
      </c>
      <c r="N1566">
        <f t="shared" ref="N1566:N1568" si="1009">+I1566-M1566</f>
        <v>85</v>
      </c>
    </row>
    <row r="1567" spans="1:14" x14ac:dyDescent="0.25">
      <c r="A1567">
        <v>149</v>
      </c>
      <c r="B1567" s="1">
        <v>43937</v>
      </c>
      <c r="C1567" t="s">
        <v>319</v>
      </c>
      <c r="D1567" t="s">
        <v>26</v>
      </c>
      <c r="F1567" t="s">
        <v>47</v>
      </c>
      <c r="G1567">
        <v>5</v>
      </c>
      <c r="H1567">
        <v>380</v>
      </c>
      <c r="I1567">
        <f t="shared" si="986"/>
        <v>1900</v>
      </c>
      <c r="J1567" t="s">
        <v>99</v>
      </c>
      <c r="K1567">
        <v>312</v>
      </c>
      <c r="M1567">
        <f t="shared" si="1008"/>
        <v>1560</v>
      </c>
      <c r="N1567">
        <f t="shared" si="1009"/>
        <v>340</v>
      </c>
    </row>
    <row r="1568" spans="1:14" x14ac:dyDescent="0.25">
      <c r="A1568">
        <v>150</v>
      </c>
      <c r="B1568" s="1">
        <v>43937</v>
      </c>
      <c r="C1568" t="s">
        <v>319</v>
      </c>
      <c r="D1568" t="s">
        <v>56</v>
      </c>
      <c r="F1568" t="s">
        <v>267</v>
      </c>
      <c r="G1568">
        <v>1</v>
      </c>
      <c r="H1568">
        <v>170</v>
      </c>
      <c r="I1568">
        <f t="shared" si="986"/>
        <v>170</v>
      </c>
      <c r="J1568" t="s">
        <v>163</v>
      </c>
      <c r="K1568">
        <v>121</v>
      </c>
      <c r="M1568">
        <f t="shared" si="1008"/>
        <v>121</v>
      </c>
      <c r="N1568">
        <f t="shared" si="1009"/>
        <v>49</v>
      </c>
    </row>
    <row r="1569" spans="1:14" x14ac:dyDescent="0.25">
      <c r="A1569">
        <v>151</v>
      </c>
      <c r="B1569" s="1">
        <v>43937</v>
      </c>
      <c r="C1569" t="s">
        <v>319</v>
      </c>
      <c r="D1569" t="s">
        <v>24</v>
      </c>
      <c r="F1569" t="s">
        <v>24</v>
      </c>
      <c r="G1569">
        <v>1</v>
      </c>
      <c r="H1569">
        <v>100</v>
      </c>
      <c r="I1569">
        <f t="shared" si="986"/>
        <v>100</v>
      </c>
      <c r="J1569" t="s">
        <v>186</v>
      </c>
      <c r="K1569">
        <v>68.22</v>
      </c>
      <c r="M1569">
        <f t="shared" ref="M1569:M1572" si="1010">+K1569*G1569</f>
        <v>68.22</v>
      </c>
      <c r="N1569">
        <f t="shared" ref="N1569:N1572" si="1011">+I1569-M1569</f>
        <v>31.78</v>
      </c>
    </row>
    <row r="1570" spans="1:14" x14ac:dyDescent="0.25">
      <c r="A1570">
        <v>152</v>
      </c>
      <c r="B1570" s="1">
        <v>43937</v>
      </c>
      <c r="C1570" t="s">
        <v>319</v>
      </c>
      <c r="D1570" t="s">
        <v>15</v>
      </c>
      <c r="F1570" t="s">
        <v>309</v>
      </c>
      <c r="G1570">
        <v>6</v>
      </c>
      <c r="H1570">
        <v>240</v>
      </c>
      <c r="I1570">
        <f t="shared" si="986"/>
        <v>1440</v>
      </c>
      <c r="J1570" t="s">
        <v>163</v>
      </c>
      <c r="K1570">
        <v>205</v>
      </c>
      <c r="M1570">
        <f t="shared" si="1010"/>
        <v>1230</v>
      </c>
      <c r="N1570">
        <f t="shared" si="1011"/>
        <v>210</v>
      </c>
    </row>
    <row r="1571" spans="1:14" x14ac:dyDescent="0.25">
      <c r="A1571">
        <v>153</v>
      </c>
      <c r="B1571" s="1">
        <v>43937</v>
      </c>
      <c r="C1571" t="s">
        <v>319</v>
      </c>
      <c r="D1571" t="s">
        <v>15</v>
      </c>
      <c r="F1571" t="s">
        <v>219</v>
      </c>
      <c r="G1571">
        <v>1.5</v>
      </c>
      <c r="H1571">
        <v>240</v>
      </c>
      <c r="I1571">
        <f t="shared" si="986"/>
        <v>360</v>
      </c>
      <c r="J1571" t="s">
        <v>163</v>
      </c>
      <c r="K1571">
        <v>213</v>
      </c>
      <c r="M1571">
        <f t="shared" si="1010"/>
        <v>319.5</v>
      </c>
      <c r="N1571">
        <f t="shared" si="1011"/>
        <v>40.5</v>
      </c>
    </row>
    <row r="1572" spans="1:14" x14ac:dyDescent="0.25">
      <c r="A1572">
        <v>154</v>
      </c>
      <c r="B1572" s="1">
        <v>43938</v>
      </c>
      <c r="C1572" t="s">
        <v>319</v>
      </c>
      <c r="D1572" t="s">
        <v>15</v>
      </c>
      <c r="F1572" t="s">
        <v>54</v>
      </c>
      <c r="G1572">
        <v>42</v>
      </c>
      <c r="H1572">
        <v>240</v>
      </c>
      <c r="I1572">
        <f t="shared" si="986"/>
        <v>10080</v>
      </c>
      <c r="J1572" t="s">
        <v>163</v>
      </c>
      <c r="K1572">
        <v>214</v>
      </c>
      <c r="M1572">
        <f t="shared" si="1010"/>
        <v>8988</v>
      </c>
      <c r="N1572">
        <f t="shared" si="1011"/>
        <v>1092</v>
      </c>
    </row>
    <row r="1573" spans="1:14" x14ac:dyDescent="0.25">
      <c r="A1573">
        <v>155</v>
      </c>
      <c r="B1573" s="1">
        <v>43938</v>
      </c>
      <c r="C1573" t="s">
        <v>319</v>
      </c>
      <c r="D1573" t="s">
        <v>55</v>
      </c>
      <c r="F1573" t="s">
        <v>97</v>
      </c>
      <c r="G1573">
        <v>4.5</v>
      </c>
      <c r="H1573">
        <v>280</v>
      </c>
      <c r="I1573">
        <f t="shared" si="986"/>
        <v>1260</v>
      </c>
      <c r="J1573" t="s">
        <v>167</v>
      </c>
      <c r="K1573">
        <v>207</v>
      </c>
      <c r="M1573">
        <f t="shared" ref="M1573" si="1012">+K1573*G1573</f>
        <v>931.5</v>
      </c>
      <c r="N1573">
        <f t="shared" ref="N1573" si="1013">+I1573-M1573</f>
        <v>328.5</v>
      </c>
    </row>
    <row r="1574" spans="1:14" x14ac:dyDescent="0.25">
      <c r="A1574">
        <v>156</v>
      </c>
      <c r="B1574" s="1">
        <v>43938</v>
      </c>
      <c r="C1574" t="s">
        <v>319</v>
      </c>
      <c r="D1574" t="s">
        <v>15</v>
      </c>
      <c r="F1574" t="s">
        <v>45</v>
      </c>
      <c r="G1574">
        <f>5/9</f>
        <v>0.55555555555555558</v>
      </c>
      <c r="H1574">
        <v>300</v>
      </c>
      <c r="I1574">
        <f t="shared" si="986"/>
        <v>166.66666666666669</v>
      </c>
      <c r="J1574" t="s">
        <v>13</v>
      </c>
      <c r="K1574">
        <v>280</v>
      </c>
      <c r="M1574">
        <f t="shared" ref="M1574" si="1014">+K1574*G1574</f>
        <v>155.55555555555557</v>
      </c>
      <c r="N1574">
        <f t="shared" ref="N1574" si="1015">+I1574-M1574</f>
        <v>11.111111111111114</v>
      </c>
    </row>
    <row r="1575" spans="1:14" x14ac:dyDescent="0.25">
      <c r="A1575">
        <v>157</v>
      </c>
      <c r="B1575" s="1">
        <v>43938</v>
      </c>
      <c r="C1575" t="s">
        <v>319</v>
      </c>
      <c r="D1575" t="s">
        <v>25</v>
      </c>
      <c r="F1575" t="s">
        <v>71</v>
      </c>
      <c r="G1575">
        <v>1</v>
      </c>
      <c r="H1575">
        <v>60</v>
      </c>
      <c r="I1575">
        <f t="shared" si="986"/>
        <v>60</v>
      </c>
      <c r="J1575" t="s">
        <v>165</v>
      </c>
      <c r="K1575">
        <f t="shared" ref="K1575" si="1016">380/12</f>
        <v>31.666666666666668</v>
      </c>
      <c r="M1575">
        <f t="shared" ref="M1575:M1582" si="1017">+K1575*G1575</f>
        <v>31.666666666666668</v>
      </c>
      <c r="N1575">
        <f t="shared" ref="N1575:N1582" si="1018">+I1575-M1575</f>
        <v>28.333333333333332</v>
      </c>
    </row>
    <row r="1576" spans="1:14" x14ac:dyDescent="0.25">
      <c r="A1576">
        <v>158</v>
      </c>
      <c r="B1576" s="1">
        <v>43938</v>
      </c>
      <c r="C1576" t="s">
        <v>319</v>
      </c>
      <c r="D1576" t="s">
        <v>15</v>
      </c>
      <c r="F1576" t="s">
        <v>80</v>
      </c>
      <c r="G1576">
        <v>36</v>
      </c>
      <c r="H1576">
        <v>240</v>
      </c>
      <c r="I1576">
        <f t="shared" si="986"/>
        <v>8640</v>
      </c>
      <c r="J1576" t="s">
        <v>163</v>
      </c>
      <c r="K1576">
        <v>213</v>
      </c>
      <c r="M1576">
        <f t="shared" si="1017"/>
        <v>7668</v>
      </c>
      <c r="N1576">
        <f t="shared" si="1018"/>
        <v>972</v>
      </c>
    </row>
    <row r="1577" spans="1:14" x14ac:dyDescent="0.25">
      <c r="A1577">
        <v>159</v>
      </c>
      <c r="B1577" s="1">
        <v>43938</v>
      </c>
      <c r="C1577" t="s">
        <v>319</v>
      </c>
      <c r="D1577" t="s">
        <v>15</v>
      </c>
      <c r="F1577" t="s">
        <v>309</v>
      </c>
      <c r="G1577">
        <f>4/9</f>
        <v>0.44444444444444442</v>
      </c>
      <c r="H1577">
        <v>240</v>
      </c>
      <c r="I1577">
        <f t="shared" si="986"/>
        <v>106.66666666666666</v>
      </c>
      <c r="J1577" t="s">
        <v>163</v>
      </c>
      <c r="K1577">
        <v>205</v>
      </c>
      <c r="M1577">
        <f t="shared" si="1017"/>
        <v>91.1111111111111</v>
      </c>
      <c r="N1577">
        <f t="shared" si="1018"/>
        <v>15.555555555555557</v>
      </c>
    </row>
    <row r="1578" spans="1:14" x14ac:dyDescent="0.25">
      <c r="A1578">
        <v>160</v>
      </c>
      <c r="B1578" s="1">
        <v>43938</v>
      </c>
      <c r="C1578" t="s">
        <v>319</v>
      </c>
      <c r="D1578" t="s">
        <v>15</v>
      </c>
      <c r="F1578" t="s">
        <v>312</v>
      </c>
      <c r="G1578">
        <f>5/9</f>
        <v>0.55555555555555558</v>
      </c>
      <c r="H1578">
        <v>300</v>
      </c>
      <c r="I1578">
        <f t="shared" si="986"/>
        <v>166.66666666666669</v>
      </c>
      <c r="J1578" t="s">
        <v>13</v>
      </c>
      <c r="K1578">
        <v>280</v>
      </c>
      <c r="M1578">
        <f t="shared" si="1017"/>
        <v>155.55555555555557</v>
      </c>
      <c r="N1578">
        <f t="shared" si="1018"/>
        <v>11.111111111111114</v>
      </c>
    </row>
    <row r="1579" spans="1:14" x14ac:dyDescent="0.25">
      <c r="A1579">
        <v>161</v>
      </c>
      <c r="B1579" s="1">
        <v>43938</v>
      </c>
      <c r="C1579" t="s">
        <v>319</v>
      </c>
      <c r="D1579" t="s">
        <v>15</v>
      </c>
      <c r="F1579" t="s">
        <v>296</v>
      </c>
      <c r="G1579">
        <v>10.5</v>
      </c>
      <c r="H1579">
        <v>240</v>
      </c>
      <c r="I1579">
        <f t="shared" si="986"/>
        <v>2520</v>
      </c>
      <c r="J1579" t="s">
        <v>163</v>
      </c>
      <c r="K1579">
        <v>177</v>
      </c>
      <c r="M1579">
        <f t="shared" si="1017"/>
        <v>1858.5</v>
      </c>
      <c r="N1579">
        <f t="shared" si="1018"/>
        <v>661.5</v>
      </c>
    </row>
    <row r="1580" spans="1:14" x14ac:dyDescent="0.25">
      <c r="A1580">
        <v>162</v>
      </c>
      <c r="B1580" s="1">
        <v>43938</v>
      </c>
      <c r="C1580" t="s">
        <v>319</v>
      </c>
      <c r="D1580" t="s">
        <v>25</v>
      </c>
      <c r="F1580" t="s">
        <v>145</v>
      </c>
      <c r="G1580">
        <v>2</v>
      </c>
      <c r="H1580">
        <v>100</v>
      </c>
      <c r="I1580">
        <f t="shared" si="986"/>
        <v>200</v>
      </c>
      <c r="J1580" t="s">
        <v>163</v>
      </c>
      <c r="K1580">
        <v>69</v>
      </c>
      <c r="M1580">
        <f t="shared" si="1017"/>
        <v>138</v>
      </c>
      <c r="N1580">
        <f t="shared" si="1018"/>
        <v>62</v>
      </c>
    </row>
    <row r="1581" spans="1:14" x14ac:dyDescent="0.25">
      <c r="A1581">
        <v>163</v>
      </c>
      <c r="B1581" s="1">
        <v>43939</v>
      </c>
      <c r="C1581" t="s">
        <v>319</v>
      </c>
      <c r="D1581" t="s">
        <v>15</v>
      </c>
      <c r="F1581" t="s">
        <v>252</v>
      </c>
      <c r="G1581">
        <f>3/9</f>
        <v>0.33333333333333331</v>
      </c>
      <c r="H1581">
        <v>280</v>
      </c>
      <c r="I1581">
        <f t="shared" si="986"/>
        <v>93.333333333333329</v>
      </c>
      <c r="J1581" t="s">
        <v>163</v>
      </c>
      <c r="K1581">
        <v>216</v>
      </c>
      <c r="M1581">
        <f t="shared" si="1017"/>
        <v>72</v>
      </c>
      <c r="N1581">
        <f t="shared" si="1018"/>
        <v>21.333333333333329</v>
      </c>
    </row>
    <row r="1582" spans="1:14" x14ac:dyDescent="0.25">
      <c r="A1582">
        <v>164</v>
      </c>
      <c r="B1582" s="1">
        <v>43939</v>
      </c>
      <c r="C1582" t="s">
        <v>319</v>
      </c>
      <c r="D1582" t="s">
        <v>25</v>
      </c>
      <c r="F1582" t="s">
        <v>331</v>
      </c>
      <c r="G1582">
        <v>1</v>
      </c>
      <c r="H1582">
        <v>100</v>
      </c>
      <c r="I1582">
        <f t="shared" si="986"/>
        <v>100</v>
      </c>
      <c r="J1582" t="s">
        <v>163</v>
      </c>
      <c r="K1582">
        <v>69</v>
      </c>
      <c r="M1582">
        <f t="shared" si="1017"/>
        <v>69</v>
      </c>
      <c r="N1582">
        <f t="shared" si="1018"/>
        <v>31</v>
      </c>
    </row>
    <row r="1583" spans="1:14" x14ac:dyDescent="0.25">
      <c r="A1583">
        <v>165</v>
      </c>
      <c r="B1583" s="1">
        <v>43939</v>
      </c>
      <c r="C1583" t="s">
        <v>319</v>
      </c>
      <c r="D1583" t="s">
        <v>92</v>
      </c>
      <c r="F1583" t="s">
        <v>91</v>
      </c>
      <c r="G1583">
        <v>1</v>
      </c>
      <c r="H1583">
        <v>46</v>
      </c>
      <c r="I1583">
        <f t="shared" si="986"/>
        <v>46</v>
      </c>
      <c r="J1583" t="s">
        <v>166</v>
      </c>
    </row>
    <row r="1584" spans="1:14" x14ac:dyDescent="0.25">
      <c r="A1584">
        <v>166</v>
      </c>
      <c r="B1584" s="1">
        <v>43939</v>
      </c>
      <c r="C1584" t="s">
        <v>319</v>
      </c>
      <c r="D1584" t="s">
        <v>15</v>
      </c>
      <c r="F1584" t="s">
        <v>33</v>
      </c>
      <c r="G1584">
        <v>7</v>
      </c>
      <c r="H1584">
        <v>240</v>
      </c>
      <c r="I1584">
        <f t="shared" si="986"/>
        <v>1680</v>
      </c>
      <c r="J1584" t="s">
        <v>163</v>
      </c>
      <c r="K1584">
        <v>204</v>
      </c>
      <c r="M1584">
        <f t="shared" ref="M1584" si="1019">+K1584*G1584</f>
        <v>1428</v>
      </c>
      <c r="N1584">
        <f t="shared" ref="N1584" si="1020">+I1584-M1584</f>
        <v>252</v>
      </c>
    </row>
    <row r="1585" spans="1:14" x14ac:dyDescent="0.25">
      <c r="A1585">
        <v>167</v>
      </c>
      <c r="B1585" s="1">
        <v>43939</v>
      </c>
      <c r="C1585" t="s">
        <v>319</v>
      </c>
      <c r="D1585" t="s">
        <v>55</v>
      </c>
      <c r="F1585" t="s">
        <v>22</v>
      </c>
      <c r="G1585">
        <v>2</v>
      </c>
      <c r="H1585">
        <v>300</v>
      </c>
      <c r="I1585">
        <f t="shared" si="986"/>
        <v>600</v>
      </c>
      <c r="J1585" t="s">
        <v>13</v>
      </c>
      <c r="K1585">
        <v>280</v>
      </c>
      <c r="M1585">
        <f t="shared" ref="M1585" si="1021">+K1585*G1585</f>
        <v>560</v>
      </c>
      <c r="N1585">
        <f t="shared" ref="N1585" si="1022">+I1585-M1585</f>
        <v>40</v>
      </c>
    </row>
    <row r="1586" spans="1:14" x14ac:dyDescent="0.25">
      <c r="A1586">
        <v>168</v>
      </c>
      <c r="B1586" s="1">
        <v>43939</v>
      </c>
      <c r="C1586" t="s">
        <v>319</v>
      </c>
      <c r="D1586" t="s">
        <v>24</v>
      </c>
      <c r="F1586" t="s">
        <v>24</v>
      </c>
      <c r="G1586">
        <v>1</v>
      </c>
      <c r="H1586">
        <v>100</v>
      </c>
      <c r="I1586">
        <f t="shared" si="986"/>
        <v>100</v>
      </c>
      <c r="J1586" t="s">
        <v>186</v>
      </c>
      <c r="K1586">
        <v>68.22</v>
      </c>
      <c r="M1586">
        <f t="shared" ref="M1586:M1592" si="1023">+K1586*G1586</f>
        <v>68.22</v>
      </c>
      <c r="N1586">
        <f t="shared" ref="N1586:N1592" si="1024">+I1586-M1586</f>
        <v>31.78</v>
      </c>
    </row>
    <row r="1587" spans="1:14" x14ac:dyDescent="0.25">
      <c r="A1587">
        <v>169</v>
      </c>
      <c r="B1587" s="1">
        <v>43939</v>
      </c>
      <c r="C1587" t="s">
        <v>319</v>
      </c>
      <c r="D1587" t="s">
        <v>55</v>
      </c>
      <c r="F1587" t="s">
        <v>39</v>
      </c>
      <c r="G1587">
        <v>1</v>
      </c>
      <c r="H1587">
        <v>300</v>
      </c>
      <c r="I1587">
        <f t="shared" si="986"/>
        <v>300</v>
      </c>
      <c r="J1587" t="s">
        <v>167</v>
      </c>
      <c r="K1587">
        <v>268</v>
      </c>
      <c r="M1587">
        <f t="shared" si="1023"/>
        <v>268</v>
      </c>
      <c r="N1587">
        <f t="shared" si="1024"/>
        <v>32</v>
      </c>
    </row>
    <row r="1588" spans="1:14" x14ac:dyDescent="0.25">
      <c r="A1588">
        <v>170</v>
      </c>
      <c r="B1588" s="1">
        <v>43939</v>
      </c>
      <c r="C1588" t="s">
        <v>319</v>
      </c>
      <c r="D1588" t="s">
        <v>55</v>
      </c>
      <c r="F1588" t="s">
        <v>97</v>
      </c>
      <c r="G1588">
        <v>1</v>
      </c>
      <c r="H1588">
        <v>280</v>
      </c>
      <c r="I1588">
        <f t="shared" si="986"/>
        <v>280</v>
      </c>
      <c r="J1588" t="s">
        <v>167</v>
      </c>
      <c r="K1588">
        <v>207</v>
      </c>
      <c r="M1588">
        <f t="shared" si="1023"/>
        <v>207</v>
      </c>
      <c r="N1588">
        <f t="shared" si="1024"/>
        <v>73</v>
      </c>
    </row>
    <row r="1589" spans="1:14" x14ac:dyDescent="0.25">
      <c r="A1589">
        <v>171</v>
      </c>
      <c r="B1589" s="1">
        <v>43941</v>
      </c>
      <c r="C1589" t="s">
        <v>319</v>
      </c>
      <c r="D1589" t="s">
        <v>55</v>
      </c>
      <c r="F1589" t="s">
        <v>247</v>
      </c>
      <c r="G1589">
        <v>23.448275859999999</v>
      </c>
      <c r="H1589">
        <v>290</v>
      </c>
      <c r="I1589">
        <f t="shared" si="986"/>
        <v>6799.9999994</v>
      </c>
      <c r="J1589" t="s">
        <v>167</v>
      </c>
      <c r="K1589">
        <v>268</v>
      </c>
      <c r="M1589">
        <f t="shared" si="1023"/>
        <v>6284.1379304799993</v>
      </c>
      <c r="N1589">
        <f t="shared" si="1024"/>
        <v>515.86206892000064</v>
      </c>
    </row>
    <row r="1590" spans="1:14" x14ac:dyDescent="0.25">
      <c r="A1590">
        <v>172</v>
      </c>
      <c r="B1590" s="1">
        <v>43941</v>
      </c>
      <c r="C1590" t="s">
        <v>319</v>
      </c>
      <c r="D1590" t="s">
        <v>15</v>
      </c>
      <c r="F1590" t="s">
        <v>17</v>
      </c>
      <c r="G1590">
        <v>2</v>
      </c>
      <c r="H1590">
        <v>360</v>
      </c>
      <c r="I1590">
        <f t="shared" si="986"/>
        <v>720</v>
      </c>
      <c r="J1590" t="s">
        <v>167</v>
      </c>
      <c r="K1590">
        <v>306</v>
      </c>
      <c r="M1590">
        <f t="shared" si="1023"/>
        <v>612</v>
      </c>
      <c r="N1590">
        <f t="shared" si="1024"/>
        <v>108</v>
      </c>
    </row>
    <row r="1591" spans="1:14" x14ac:dyDescent="0.25">
      <c r="A1591">
        <v>173</v>
      </c>
      <c r="B1591" s="1">
        <v>43941</v>
      </c>
      <c r="C1591" t="s">
        <v>319</v>
      </c>
      <c r="D1591" t="s">
        <v>15</v>
      </c>
      <c r="F1591" t="s">
        <v>33</v>
      </c>
      <c r="G1591">
        <v>1</v>
      </c>
      <c r="H1591">
        <v>230</v>
      </c>
      <c r="I1591">
        <f t="shared" si="986"/>
        <v>230</v>
      </c>
      <c r="J1591" t="s">
        <v>163</v>
      </c>
      <c r="K1591">
        <v>204</v>
      </c>
      <c r="M1591">
        <f t="shared" si="1023"/>
        <v>204</v>
      </c>
      <c r="N1591">
        <f t="shared" si="1024"/>
        <v>26</v>
      </c>
    </row>
    <row r="1592" spans="1:14" x14ac:dyDescent="0.25">
      <c r="A1592">
        <v>174</v>
      </c>
      <c r="B1592" s="1">
        <v>43941</v>
      </c>
      <c r="C1592" t="s">
        <v>319</v>
      </c>
      <c r="D1592" t="s">
        <v>15</v>
      </c>
      <c r="F1592" t="s">
        <v>31</v>
      </c>
      <c r="G1592">
        <v>1</v>
      </c>
      <c r="H1592">
        <v>280</v>
      </c>
      <c r="I1592">
        <f t="shared" si="986"/>
        <v>280</v>
      </c>
      <c r="J1592" t="s">
        <v>163</v>
      </c>
      <c r="K1592">
        <v>216</v>
      </c>
      <c r="M1592">
        <f t="shared" si="1023"/>
        <v>216</v>
      </c>
      <c r="N1592">
        <f t="shared" si="1024"/>
        <v>64</v>
      </c>
    </row>
    <row r="1593" spans="1:14" x14ac:dyDescent="0.25">
      <c r="A1593">
        <v>175</v>
      </c>
      <c r="B1593" s="1">
        <v>43941</v>
      </c>
      <c r="C1593" t="s">
        <v>319</v>
      </c>
      <c r="D1593" t="s">
        <v>56</v>
      </c>
      <c r="F1593" t="s">
        <v>38</v>
      </c>
      <c r="G1593">
        <v>1</v>
      </c>
      <c r="H1593">
        <v>110</v>
      </c>
      <c r="I1593">
        <f t="shared" si="986"/>
        <v>110</v>
      </c>
      <c r="J1593" t="s">
        <v>164</v>
      </c>
      <c r="K1593">
        <v>70</v>
      </c>
      <c r="M1593">
        <f t="shared" ref="M1593:M1596" si="1025">+K1593*G1593</f>
        <v>70</v>
      </c>
      <c r="N1593">
        <f t="shared" ref="N1593:N1596" si="1026">+I1593-M1593</f>
        <v>40</v>
      </c>
    </row>
    <row r="1594" spans="1:14" x14ac:dyDescent="0.25">
      <c r="A1594">
        <v>176</v>
      </c>
      <c r="B1594" s="1">
        <v>43941</v>
      </c>
      <c r="C1594" t="s">
        <v>319</v>
      </c>
      <c r="D1594" t="s">
        <v>55</v>
      </c>
      <c r="F1594" t="s">
        <v>22</v>
      </c>
      <c r="G1594">
        <f>2/17</f>
        <v>0.11764705882352941</v>
      </c>
      <c r="H1594">
        <v>300</v>
      </c>
      <c r="I1594">
        <f t="shared" si="986"/>
        <v>35.294117647058826</v>
      </c>
      <c r="J1594" t="s">
        <v>13</v>
      </c>
      <c r="K1594">
        <v>280</v>
      </c>
      <c r="M1594">
        <f t="shared" si="1025"/>
        <v>32.941176470588232</v>
      </c>
      <c r="N1594">
        <f t="shared" si="1026"/>
        <v>2.3529411764705941</v>
      </c>
    </row>
    <row r="1595" spans="1:14" x14ac:dyDescent="0.25">
      <c r="A1595">
        <v>177</v>
      </c>
      <c r="B1595" s="1">
        <v>43941</v>
      </c>
      <c r="C1595" t="s">
        <v>319</v>
      </c>
      <c r="D1595" t="s">
        <v>15</v>
      </c>
      <c r="F1595" t="s">
        <v>204</v>
      </c>
      <c r="G1595">
        <f>2/9</f>
        <v>0.22222222222222221</v>
      </c>
      <c r="H1595">
        <v>300</v>
      </c>
      <c r="I1595">
        <f t="shared" si="986"/>
        <v>66.666666666666657</v>
      </c>
      <c r="J1595" t="s">
        <v>13</v>
      </c>
      <c r="K1595">
        <v>280</v>
      </c>
      <c r="M1595">
        <f t="shared" si="1025"/>
        <v>62.222222222222221</v>
      </c>
      <c r="N1595">
        <f t="shared" si="1026"/>
        <v>4.4444444444444358</v>
      </c>
    </row>
    <row r="1596" spans="1:14" x14ac:dyDescent="0.25">
      <c r="A1596">
        <v>178</v>
      </c>
      <c r="B1596" s="1">
        <v>43941</v>
      </c>
      <c r="C1596" t="s">
        <v>319</v>
      </c>
      <c r="D1596" t="s">
        <v>56</v>
      </c>
      <c r="F1596" t="s">
        <v>267</v>
      </c>
      <c r="G1596">
        <v>1</v>
      </c>
      <c r="H1596">
        <v>170</v>
      </c>
      <c r="I1596">
        <f t="shared" si="986"/>
        <v>170</v>
      </c>
      <c r="J1596" t="s">
        <v>163</v>
      </c>
      <c r="K1596">
        <v>121</v>
      </c>
      <c r="M1596">
        <f t="shared" si="1025"/>
        <v>121</v>
      </c>
      <c r="N1596">
        <f t="shared" si="1026"/>
        <v>49</v>
      </c>
    </row>
    <row r="1597" spans="1:14" x14ac:dyDescent="0.25">
      <c r="A1597">
        <v>179</v>
      </c>
      <c r="B1597" s="1">
        <v>43941</v>
      </c>
      <c r="C1597" t="s">
        <v>319</v>
      </c>
      <c r="D1597" t="s">
        <v>56</v>
      </c>
      <c r="F1597" t="s">
        <v>38</v>
      </c>
      <c r="G1597">
        <v>1</v>
      </c>
      <c r="H1597">
        <v>110</v>
      </c>
      <c r="I1597">
        <f t="shared" si="986"/>
        <v>110</v>
      </c>
      <c r="J1597" t="s">
        <v>164</v>
      </c>
      <c r="K1597">
        <v>70</v>
      </c>
      <c r="M1597">
        <f t="shared" ref="M1597:M1599" si="1027">+K1597*G1597</f>
        <v>70</v>
      </c>
      <c r="N1597">
        <f t="shared" ref="N1597:N1599" si="1028">+I1597-M1597</f>
        <v>40</v>
      </c>
    </row>
    <row r="1598" spans="1:14" x14ac:dyDescent="0.25">
      <c r="A1598">
        <v>180</v>
      </c>
      <c r="B1598" s="1">
        <v>43942</v>
      </c>
      <c r="C1598" t="s">
        <v>319</v>
      </c>
      <c r="D1598" t="s">
        <v>56</v>
      </c>
      <c r="F1598" t="s">
        <v>38</v>
      </c>
      <c r="G1598">
        <v>3</v>
      </c>
      <c r="H1598">
        <v>110</v>
      </c>
      <c r="I1598">
        <f t="shared" si="986"/>
        <v>330</v>
      </c>
      <c r="J1598" t="s">
        <v>164</v>
      </c>
      <c r="K1598">
        <v>70</v>
      </c>
      <c r="M1598">
        <f t="shared" si="1027"/>
        <v>210</v>
      </c>
      <c r="N1598">
        <f t="shared" si="1028"/>
        <v>120</v>
      </c>
    </row>
    <row r="1599" spans="1:14" x14ac:dyDescent="0.25">
      <c r="A1599">
        <v>181</v>
      </c>
      <c r="B1599" s="1">
        <v>43942</v>
      </c>
      <c r="C1599" t="s">
        <v>319</v>
      </c>
      <c r="D1599" t="s">
        <v>56</v>
      </c>
      <c r="F1599" t="s">
        <v>38</v>
      </c>
      <c r="G1599">
        <v>1</v>
      </c>
      <c r="H1599">
        <v>110</v>
      </c>
      <c r="I1599">
        <f t="shared" ref="I1599:I1667" si="1029">+G1599*H1599</f>
        <v>110</v>
      </c>
      <c r="J1599" t="s">
        <v>164</v>
      </c>
      <c r="K1599">
        <v>70</v>
      </c>
      <c r="M1599">
        <f t="shared" si="1027"/>
        <v>70</v>
      </c>
      <c r="N1599">
        <f t="shared" si="1028"/>
        <v>40</v>
      </c>
    </row>
    <row r="1600" spans="1:14" x14ac:dyDescent="0.25">
      <c r="A1600">
        <v>182</v>
      </c>
      <c r="B1600" s="1">
        <v>43942</v>
      </c>
      <c r="C1600" t="s">
        <v>319</v>
      </c>
      <c r="D1600" t="s">
        <v>78</v>
      </c>
      <c r="F1600" t="s">
        <v>42</v>
      </c>
      <c r="G1600">
        <v>1</v>
      </c>
      <c r="H1600">
        <v>90</v>
      </c>
      <c r="I1600">
        <f t="shared" si="1029"/>
        <v>90</v>
      </c>
      <c r="J1600" t="s">
        <v>166</v>
      </c>
    </row>
    <row r="1601" spans="1:14" x14ac:dyDescent="0.25">
      <c r="A1601">
        <v>183</v>
      </c>
      <c r="B1601" s="1">
        <v>43942</v>
      </c>
      <c r="C1601" t="s">
        <v>319</v>
      </c>
      <c r="D1601" t="s">
        <v>55</v>
      </c>
      <c r="F1601" t="s">
        <v>228</v>
      </c>
      <c r="G1601">
        <f>17/12</f>
        <v>1.4166666666666667</v>
      </c>
      <c r="H1601">
        <v>300</v>
      </c>
      <c r="I1601">
        <f t="shared" si="1029"/>
        <v>425</v>
      </c>
      <c r="J1601" t="s">
        <v>167</v>
      </c>
      <c r="K1601">
        <v>268</v>
      </c>
      <c r="M1601">
        <f t="shared" ref="M1601:M1602" si="1030">+K1601*G1601</f>
        <v>379.66666666666669</v>
      </c>
      <c r="N1601">
        <f t="shared" ref="N1601:N1602" si="1031">+I1601-M1601</f>
        <v>45.333333333333314</v>
      </c>
    </row>
    <row r="1602" spans="1:14" x14ac:dyDescent="0.25">
      <c r="A1602">
        <v>184</v>
      </c>
      <c r="B1602" s="1">
        <v>43942</v>
      </c>
      <c r="C1602" t="s">
        <v>319</v>
      </c>
      <c r="D1602" t="s">
        <v>56</v>
      </c>
      <c r="F1602" t="s">
        <v>267</v>
      </c>
      <c r="G1602">
        <v>10</v>
      </c>
      <c r="H1602">
        <v>170</v>
      </c>
      <c r="I1602">
        <f t="shared" si="1029"/>
        <v>1700</v>
      </c>
      <c r="J1602" t="s">
        <v>163</v>
      </c>
      <c r="K1602">
        <v>121</v>
      </c>
      <c r="M1602">
        <f t="shared" si="1030"/>
        <v>1210</v>
      </c>
      <c r="N1602">
        <f t="shared" si="1031"/>
        <v>490</v>
      </c>
    </row>
    <row r="1603" spans="1:14" x14ac:dyDescent="0.25">
      <c r="A1603">
        <v>185</v>
      </c>
      <c r="B1603" s="1">
        <v>43942</v>
      </c>
      <c r="C1603" t="s">
        <v>319</v>
      </c>
      <c r="D1603" t="s">
        <v>15</v>
      </c>
      <c r="F1603" t="s">
        <v>45</v>
      </c>
      <c r="G1603">
        <v>30</v>
      </c>
      <c r="H1603">
        <v>298</v>
      </c>
      <c r="I1603">
        <f t="shared" si="1029"/>
        <v>8940</v>
      </c>
      <c r="J1603" t="s">
        <v>13</v>
      </c>
      <c r="K1603">
        <v>280</v>
      </c>
      <c r="M1603">
        <f t="shared" ref="M1603:M1606" si="1032">+K1603*G1603</f>
        <v>8400</v>
      </c>
      <c r="N1603">
        <f t="shared" ref="N1603:N1606" si="1033">+I1603-M1603</f>
        <v>540</v>
      </c>
    </row>
    <row r="1604" spans="1:14" x14ac:dyDescent="0.25">
      <c r="A1604">
        <v>186</v>
      </c>
      <c r="B1604" s="1">
        <v>43942</v>
      </c>
      <c r="C1604" t="s">
        <v>319</v>
      </c>
      <c r="D1604" t="s">
        <v>15</v>
      </c>
      <c r="F1604" t="s">
        <v>296</v>
      </c>
      <c r="G1604">
        <f>10/8</f>
        <v>1.25</v>
      </c>
      <c r="H1604">
        <v>240</v>
      </c>
      <c r="I1604">
        <f t="shared" si="1029"/>
        <v>300</v>
      </c>
      <c r="J1604" t="s">
        <v>163</v>
      </c>
      <c r="K1604">
        <v>177</v>
      </c>
      <c r="M1604">
        <f t="shared" si="1032"/>
        <v>221.25</v>
      </c>
      <c r="N1604">
        <f t="shared" si="1033"/>
        <v>78.75</v>
      </c>
    </row>
    <row r="1605" spans="1:14" x14ac:dyDescent="0.25">
      <c r="A1605">
        <v>187</v>
      </c>
      <c r="B1605" s="1">
        <v>43942</v>
      </c>
      <c r="C1605" t="s">
        <v>319</v>
      </c>
      <c r="D1605" t="s">
        <v>15</v>
      </c>
      <c r="F1605" t="s">
        <v>29</v>
      </c>
      <c r="G1605">
        <v>15</v>
      </c>
      <c r="H1605">
        <v>230</v>
      </c>
      <c r="I1605">
        <f t="shared" si="1029"/>
        <v>3450</v>
      </c>
      <c r="J1605" t="s">
        <v>163</v>
      </c>
      <c r="K1605">
        <v>197</v>
      </c>
      <c r="M1605">
        <f t="shared" si="1032"/>
        <v>2955</v>
      </c>
      <c r="N1605">
        <f t="shared" si="1033"/>
        <v>495</v>
      </c>
    </row>
    <row r="1606" spans="1:14" x14ac:dyDescent="0.25">
      <c r="A1606">
        <v>188</v>
      </c>
      <c r="B1606" s="1">
        <v>43942</v>
      </c>
      <c r="C1606" t="s">
        <v>319</v>
      </c>
      <c r="D1606" t="s">
        <v>25</v>
      </c>
      <c r="F1606" t="s">
        <v>173</v>
      </c>
      <c r="G1606">
        <v>1</v>
      </c>
      <c r="H1606">
        <v>100</v>
      </c>
      <c r="I1606">
        <f t="shared" si="1029"/>
        <v>100</v>
      </c>
      <c r="J1606" t="s">
        <v>163</v>
      </c>
      <c r="K1606">
        <v>69</v>
      </c>
      <c r="M1606">
        <f t="shared" si="1032"/>
        <v>69</v>
      </c>
      <c r="N1606">
        <f t="shared" si="1033"/>
        <v>31</v>
      </c>
    </row>
    <row r="1607" spans="1:14" x14ac:dyDescent="0.25">
      <c r="A1607">
        <v>189</v>
      </c>
      <c r="B1607" s="1">
        <v>43942</v>
      </c>
      <c r="C1607" t="s">
        <v>319</v>
      </c>
      <c r="D1607" t="s">
        <v>55</v>
      </c>
      <c r="F1607" t="s">
        <v>39</v>
      </c>
      <c r="G1607">
        <f>3/17</f>
        <v>0.17647058823529413</v>
      </c>
      <c r="H1607">
        <v>300</v>
      </c>
      <c r="I1607">
        <f t="shared" si="1029"/>
        <v>52.941176470588239</v>
      </c>
      <c r="J1607" t="s">
        <v>167</v>
      </c>
      <c r="K1607">
        <v>268</v>
      </c>
      <c r="M1607">
        <f t="shared" ref="M1607" si="1034">+K1607*G1607</f>
        <v>47.294117647058826</v>
      </c>
      <c r="N1607">
        <f t="shared" ref="N1607" si="1035">+I1607-M1607</f>
        <v>5.647058823529413</v>
      </c>
    </row>
    <row r="1608" spans="1:14" x14ac:dyDescent="0.25">
      <c r="A1608">
        <v>190</v>
      </c>
      <c r="B1608" s="1">
        <v>43942</v>
      </c>
      <c r="C1608" t="s">
        <v>319</v>
      </c>
      <c r="D1608" t="s">
        <v>56</v>
      </c>
      <c r="F1608" t="s">
        <v>38</v>
      </c>
      <c r="G1608">
        <v>1</v>
      </c>
      <c r="H1608">
        <v>110</v>
      </c>
      <c r="I1608">
        <f t="shared" si="1029"/>
        <v>110</v>
      </c>
      <c r="J1608" t="s">
        <v>164</v>
      </c>
      <c r="K1608">
        <v>70</v>
      </c>
      <c r="M1608">
        <f t="shared" ref="M1608:M1609" si="1036">+K1608*G1608</f>
        <v>70</v>
      </c>
      <c r="N1608">
        <f t="shared" ref="N1608:N1609" si="1037">+I1608-M1608</f>
        <v>40</v>
      </c>
    </row>
    <row r="1609" spans="1:14" x14ac:dyDescent="0.25">
      <c r="A1609">
        <v>191</v>
      </c>
      <c r="B1609" s="1">
        <v>43942</v>
      </c>
      <c r="C1609" t="s">
        <v>319</v>
      </c>
      <c r="D1609" t="s">
        <v>56</v>
      </c>
      <c r="F1609" t="s">
        <v>267</v>
      </c>
      <c r="G1609">
        <v>1</v>
      </c>
      <c r="H1609">
        <v>170</v>
      </c>
      <c r="I1609">
        <f t="shared" si="1029"/>
        <v>170</v>
      </c>
      <c r="J1609" t="s">
        <v>163</v>
      </c>
      <c r="K1609">
        <v>121</v>
      </c>
      <c r="M1609">
        <f t="shared" si="1036"/>
        <v>121</v>
      </c>
      <c r="N1609">
        <f t="shared" si="1037"/>
        <v>49</v>
      </c>
    </row>
    <row r="1610" spans="1:14" x14ac:dyDescent="0.25">
      <c r="A1610">
        <v>192</v>
      </c>
      <c r="B1610" s="1">
        <v>43943</v>
      </c>
      <c r="C1610" t="s">
        <v>319</v>
      </c>
      <c r="D1610" t="s">
        <v>55</v>
      </c>
      <c r="F1610" t="s">
        <v>228</v>
      </c>
      <c r="G1610">
        <v>3</v>
      </c>
      <c r="H1610">
        <v>300</v>
      </c>
      <c r="I1610">
        <f t="shared" si="1029"/>
        <v>900</v>
      </c>
      <c r="J1610" t="s">
        <v>167</v>
      </c>
      <c r="K1610">
        <v>268</v>
      </c>
      <c r="M1610">
        <f t="shared" ref="M1610:M1614" si="1038">+K1610*G1610</f>
        <v>804</v>
      </c>
      <c r="N1610">
        <f t="shared" ref="N1610:N1614" si="1039">+I1610-M1610</f>
        <v>96</v>
      </c>
    </row>
    <row r="1611" spans="1:14" x14ac:dyDescent="0.25">
      <c r="A1611">
        <v>193</v>
      </c>
      <c r="B1611" s="1">
        <v>43943</v>
      </c>
      <c r="C1611" t="s">
        <v>319</v>
      </c>
      <c r="D1611" t="s">
        <v>56</v>
      </c>
      <c r="F1611" t="s">
        <v>267</v>
      </c>
      <c r="G1611">
        <v>2</v>
      </c>
      <c r="H1611">
        <v>170</v>
      </c>
      <c r="I1611">
        <f t="shared" si="1029"/>
        <v>340</v>
      </c>
      <c r="J1611" t="s">
        <v>163</v>
      </c>
      <c r="K1611">
        <v>121</v>
      </c>
      <c r="M1611">
        <f t="shared" si="1038"/>
        <v>242</v>
      </c>
      <c r="N1611">
        <f t="shared" si="1039"/>
        <v>98</v>
      </c>
    </row>
    <row r="1612" spans="1:14" x14ac:dyDescent="0.25">
      <c r="A1612">
        <v>194</v>
      </c>
      <c r="B1612" s="1">
        <v>43943</v>
      </c>
      <c r="C1612" t="s">
        <v>319</v>
      </c>
      <c r="D1612" t="s">
        <v>25</v>
      </c>
      <c r="F1612" t="s">
        <v>173</v>
      </c>
      <c r="G1612">
        <v>1</v>
      </c>
      <c r="H1612">
        <v>100</v>
      </c>
      <c r="I1612">
        <f t="shared" si="1029"/>
        <v>100</v>
      </c>
      <c r="J1612" t="s">
        <v>163</v>
      </c>
      <c r="K1612">
        <v>69</v>
      </c>
      <c r="M1612">
        <f t="shared" si="1038"/>
        <v>69</v>
      </c>
      <c r="N1612">
        <f t="shared" si="1039"/>
        <v>31</v>
      </c>
    </row>
    <row r="1613" spans="1:14" x14ac:dyDescent="0.25">
      <c r="A1613">
        <v>195</v>
      </c>
      <c r="B1613" s="1">
        <v>43943</v>
      </c>
      <c r="C1613" t="s">
        <v>319</v>
      </c>
      <c r="D1613" t="s">
        <v>15</v>
      </c>
      <c r="F1613" t="s">
        <v>33</v>
      </c>
      <c r="G1613">
        <f>14/9</f>
        <v>1.5555555555555556</v>
      </c>
      <c r="H1613">
        <v>240</v>
      </c>
      <c r="I1613">
        <f t="shared" si="1029"/>
        <v>373.33333333333331</v>
      </c>
      <c r="J1613" t="s">
        <v>163</v>
      </c>
      <c r="K1613">
        <v>204</v>
      </c>
      <c r="M1613">
        <f t="shared" si="1038"/>
        <v>317.33333333333331</v>
      </c>
      <c r="N1613">
        <f t="shared" si="1039"/>
        <v>56</v>
      </c>
    </row>
    <row r="1614" spans="1:14" x14ac:dyDescent="0.25">
      <c r="A1614">
        <v>196</v>
      </c>
      <c r="B1614" s="1">
        <v>43943</v>
      </c>
      <c r="C1614" t="s">
        <v>319</v>
      </c>
      <c r="D1614" t="s">
        <v>56</v>
      </c>
      <c r="F1614" t="s">
        <v>267</v>
      </c>
      <c r="G1614">
        <v>1</v>
      </c>
      <c r="H1614">
        <v>170</v>
      </c>
      <c r="I1614">
        <f t="shared" si="1029"/>
        <v>170</v>
      </c>
      <c r="J1614" t="s">
        <v>163</v>
      </c>
      <c r="K1614">
        <v>121</v>
      </c>
      <c r="M1614">
        <f t="shared" si="1038"/>
        <v>121</v>
      </c>
      <c r="N1614">
        <f t="shared" si="1039"/>
        <v>49</v>
      </c>
    </row>
    <row r="1615" spans="1:14" x14ac:dyDescent="0.25">
      <c r="A1615">
        <v>197</v>
      </c>
      <c r="B1615" s="1">
        <v>43943</v>
      </c>
      <c r="C1615" t="s">
        <v>319</v>
      </c>
      <c r="D1615" t="s">
        <v>56</v>
      </c>
      <c r="F1615" t="s">
        <v>38</v>
      </c>
      <c r="G1615">
        <v>1</v>
      </c>
      <c r="H1615">
        <v>110</v>
      </c>
      <c r="I1615">
        <f t="shared" si="1029"/>
        <v>110</v>
      </c>
      <c r="J1615" t="s">
        <v>164</v>
      </c>
      <c r="K1615">
        <v>70</v>
      </c>
      <c r="M1615">
        <f t="shared" ref="M1615:M1617" si="1040">+K1615*G1615</f>
        <v>70</v>
      </c>
      <c r="N1615">
        <f t="shared" ref="N1615:N1617" si="1041">+I1615-M1615</f>
        <v>40</v>
      </c>
    </row>
    <row r="1616" spans="1:14" x14ac:dyDescent="0.25">
      <c r="A1616">
        <v>198</v>
      </c>
      <c r="B1616" s="1">
        <v>43943</v>
      </c>
      <c r="C1616" t="s">
        <v>319</v>
      </c>
      <c r="D1616" t="s">
        <v>70</v>
      </c>
      <c r="F1616" t="s">
        <v>191</v>
      </c>
      <c r="G1616">
        <v>1</v>
      </c>
      <c r="H1616">
        <v>1900</v>
      </c>
      <c r="I1616">
        <f t="shared" si="1029"/>
        <v>1900</v>
      </c>
      <c r="J1616" t="s">
        <v>167</v>
      </c>
      <c r="K1616">
        <v>1672</v>
      </c>
      <c r="M1616">
        <f t="shared" si="1040"/>
        <v>1672</v>
      </c>
      <c r="N1616">
        <f t="shared" si="1041"/>
        <v>228</v>
      </c>
    </row>
    <row r="1617" spans="1:14" x14ac:dyDescent="0.25">
      <c r="A1617">
        <v>199</v>
      </c>
      <c r="B1617" s="1">
        <v>43943</v>
      </c>
      <c r="C1617" t="s">
        <v>319</v>
      </c>
      <c r="D1617" t="s">
        <v>15</v>
      </c>
      <c r="F1617" t="s">
        <v>292</v>
      </c>
      <c r="G1617">
        <v>2.15</v>
      </c>
      <c r="H1617">
        <v>230</v>
      </c>
      <c r="I1617">
        <f t="shared" si="1029"/>
        <v>494.5</v>
      </c>
      <c r="J1617" t="s">
        <v>163</v>
      </c>
      <c r="K1617">
        <v>177</v>
      </c>
      <c r="M1617">
        <f t="shared" si="1040"/>
        <v>380.55</v>
      </c>
      <c r="N1617">
        <f t="shared" si="1041"/>
        <v>113.94999999999999</v>
      </c>
    </row>
    <row r="1618" spans="1:14" x14ac:dyDescent="0.25">
      <c r="A1618">
        <v>200</v>
      </c>
      <c r="B1618" s="1">
        <v>43943</v>
      </c>
      <c r="C1618" t="s">
        <v>319</v>
      </c>
      <c r="D1618" t="s">
        <v>92</v>
      </c>
      <c r="F1618" t="s">
        <v>275</v>
      </c>
      <c r="G1618">
        <v>2</v>
      </c>
      <c r="H1618">
        <v>180</v>
      </c>
      <c r="I1618">
        <f t="shared" si="1029"/>
        <v>360</v>
      </c>
      <c r="J1618" t="s">
        <v>166</v>
      </c>
    </row>
    <row r="1619" spans="1:14" x14ac:dyDescent="0.25">
      <c r="A1619">
        <v>201</v>
      </c>
      <c r="B1619" s="1">
        <v>43943</v>
      </c>
      <c r="C1619" t="s">
        <v>319</v>
      </c>
      <c r="D1619" t="s">
        <v>70</v>
      </c>
      <c r="F1619" t="s">
        <v>227</v>
      </c>
      <c r="G1619">
        <v>1</v>
      </c>
      <c r="H1619">
        <v>1650</v>
      </c>
      <c r="I1619">
        <f t="shared" si="1029"/>
        <v>1650</v>
      </c>
      <c r="J1619" t="s">
        <v>167</v>
      </c>
      <c r="K1619">
        <v>1440</v>
      </c>
      <c r="M1619">
        <f t="shared" ref="M1619:M1622" si="1042">+K1619*G1619</f>
        <v>1440</v>
      </c>
      <c r="N1619">
        <f t="shared" ref="N1619:N1622" si="1043">+I1619-M1619</f>
        <v>210</v>
      </c>
    </row>
    <row r="1620" spans="1:14" x14ac:dyDescent="0.25">
      <c r="A1620">
        <v>202</v>
      </c>
      <c r="B1620" s="1">
        <v>43943</v>
      </c>
      <c r="C1620" t="s">
        <v>319</v>
      </c>
      <c r="D1620" t="s">
        <v>70</v>
      </c>
      <c r="F1620" t="s">
        <v>152</v>
      </c>
      <c r="G1620">
        <v>1</v>
      </c>
      <c r="H1620">
        <v>85</v>
      </c>
      <c r="I1620">
        <f t="shared" si="1029"/>
        <v>85</v>
      </c>
      <c r="J1620" t="s">
        <v>163</v>
      </c>
      <c r="K1620">
        <v>69</v>
      </c>
      <c r="M1620">
        <f t="shared" si="1042"/>
        <v>69</v>
      </c>
      <c r="N1620">
        <f t="shared" si="1043"/>
        <v>16</v>
      </c>
    </row>
    <row r="1621" spans="1:14" x14ac:dyDescent="0.25">
      <c r="A1621">
        <v>203</v>
      </c>
      <c r="B1621" s="1">
        <v>43943</v>
      </c>
      <c r="C1621" t="s">
        <v>319</v>
      </c>
      <c r="D1621" t="s">
        <v>15</v>
      </c>
      <c r="F1621" t="s">
        <v>20</v>
      </c>
      <c r="G1621">
        <f>2/5</f>
        <v>0.4</v>
      </c>
      <c r="H1621">
        <v>240</v>
      </c>
      <c r="I1621">
        <f t="shared" si="1029"/>
        <v>96</v>
      </c>
      <c r="J1621" t="s">
        <v>163</v>
      </c>
      <c r="K1621">
        <v>217</v>
      </c>
      <c r="M1621">
        <f t="shared" si="1042"/>
        <v>86.800000000000011</v>
      </c>
      <c r="N1621">
        <f t="shared" si="1043"/>
        <v>9.1999999999999886</v>
      </c>
    </row>
    <row r="1622" spans="1:14" x14ac:dyDescent="0.25">
      <c r="A1622">
        <v>204</v>
      </c>
      <c r="B1622" s="1">
        <v>43943</v>
      </c>
      <c r="C1622" t="s">
        <v>319</v>
      </c>
      <c r="D1622" t="s">
        <v>56</v>
      </c>
      <c r="F1622" t="s">
        <v>267</v>
      </c>
      <c r="G1622">
        <v>1</v>
      </c>
      <c r="H1622">
        <v>170</v>
      </c>
      <c r="I1622">
        <f t="shared" si="1029"/>
        <v>170</v>
      </c>
      <c r="J1622" t="s">
        <v>163</v>
      </c>
      <c r="K1622">
        <v>121</v>
      </c>
      <c r="M1622">
        <f t="shared" si="1042"/>
        <v>121</v>
      </c>
      <c r="N1622">
        <f t="shared" si="1043"/>
        <v>49</v>
      </c>
    </row>
    <row r="1623" spans="1:14" x14ac:dyDescent="0.25">
      <c r="A1623">
        <v>205</v>
      </c>
      <c r="B1623" s="1">
        <v>43943</v>
      </c>
      <c r="C1623" t="s">
        <v>319</v>
      </c>
      <c r="D1623" t="s">
        <v>26</v>
      </c>
      <c r="F1623" t="s">
        <v>47</v>
      </c>
      <c r="G1623">
        <v>4</v>
      </c>
      <c r="H1623">
        <v>380</v>
      </c>
      <c r="I1623">
        <f t="shared" si="1029"/>
        <v>1520</v>
      </c>
      <c r="J1623" t="s">
        <v>99</v>
      </c>
      <c r="K1623">
        <v>312</v>
      </c>
      <c r="M1623">
        <f t="shared" ref="M1623:M1624" si="1044">+K1623*G1623</f>
        <v>1248</v>
      </c>
      <c r="N1623">
        <f t="shared" ref="N1623:N1624" si="1045">+I1623-M1623</f>
        <v>272</v>
      </c>
    </row>
    <row r="1624" spans="1:14" x14ac:dyDescent="0.25">
      <c r="A1624">
        <v>206</v>
      </c>
      <c r="B1624" s="1">
        <v>43943</v>
      </c>
      <c r="C1624" t="s">
        <v>319</v>
      </c>
      <c r="D1624" t="s">
        <v>56</v>
      </c>
      <c r="F1624" t="s">
        <v>176</v>
      </c>
      <c r="G1624">
        <v>1</v>
      </c>
      <c r="H1624">
        <v>260</v>
      </c>
      <c r="I1624">
        <f t="shared" si="1029"/>
        <v>260</v>
      </c>
      <c r="J1624" t="s">
        <v>163</v>
      </c>
      <c r="K1624">
        <v>186</v>
      </c>
      <c r="M1624">
        <f t="shared" si="1044"/>
        <v>186</v>
      </c>
      <c r="N1624">
        <f t="shared" si="1045"/>
        <v>74</v>
      </c>
    </row>
    <row r="1625" spans="1:14" x14ac:dyDescent="0.25">
      <c r="A1625">
        <v>207</v>
      </c>
      <c r="B1625" s="1">
        <v>43943</v>
      </c>
      <c r="C1625" t="s">
        <v>319</v>
      </c>
      <c r="D1625" t="s">
        <v>68</v>
      </c>
      <c r="F1625" t="s">
        <v>332</v>
      </c>
      <c r="G1625">
        <v>1</v>
      </c>
      <c r="H1625">
        <v>60</v>
      </c>
      <c r="I1625">
        <f t="shared" si="1029"/>
        <v>60</v>
      </c>
      <c r="J1625" t="s">
        <v>395</v>
      </c>
    </row>
    <row r="1626" spans="1:14" x14ac:dyDescent="0.25">
      <c r="A1626">
        <v>208</v>
      </c>
      <c r="B1626" s="1">
        <v>43944</v>
      </c>
      <c r="C1626" t="s">
        <v>319</v>
      </c>
      <c r="D1626" t="s">
        <v>15</v>
      </c>
      <c r="F1626" t="s">
        <v>309</v>
      </c>
      <c r="G1626">
        <f>12/9</f>
        <v>1.3333333333333333</v>
      </c>
      <c r="H1626">
        <v>240</v>
      </c>
      <c r="I1626">
        <f t="shared" si="1029"/>
        <v>320</v>
      </c>
      <c r="J1626" t="s">
        <v>163</v>
      </c>
      <c r="K1626">
        <v>205</v>
      </c>
      <c r="M1626">
        <f t="shared" ref="M1626:M1628" si="1046">+K1626*G1626</f>
        <v>273.33333333333331</v>
      </c>
      <c r="N1626">
        <f t="shared" ref="N1626:N1628" si="1047">+I1626-M1626</f>
        <v>46.666666666666686</v>
      </c>
    </row>
    <row r="1627" spans="1:14" x14ac:dyDescent="0.25">
      <c r="A1627">
        <v>209</v>
      </c>
      <c r="B1627" s="1">
        <v>43944</v>
      </c>
      <c r="C1627" t="s">
        <v>319</v>
      </c>
      <c r="D1627" t="s">
        <v>56</v>
      </c>
      <c r="F1627" t="s">
        <v>176</v>
      </c>
      <c r="G1627">
        <v>1</v>
      </c>
      <c r="H1627">
        <v>260</v>
      </c>
      <c r="I1627">
        <f t="shared" si="1029"/>
        <v>260</v>
      </c>
      <c r="J1627" t="s">
        <v>163</v>
      </c>
      <c r="K1627">
        <v>186</v>
      </c>
      <c r="M1627">
        <f t="shared" si="1046"/>
        <v>186</v>
      </c>
      <c r="N1627">
        <f t="shared" si="1047"/>
        <v>74</v>
      </c>
    </row>
    <row r="1628" spans="1:14" x14ac:dyDescent="0.25">
      <c r="A1628">
        <v>210</v>
      </c>
      <c r="B1628" s="1">
        <v>43944</v>
      </c>
      <c r="C1628" t="s">
        <v>319</v>
      </c>
      <c r="D1628" t="s">
        <v>25</v>
      </c>
      <c r="F1628" t="s">
        <v>172</v>
      </c>
      <c r="G1628">
        <v>1</v>
      </c>
      <c r="H1628">
        <v>100</v>
      </c>
      <c r="I1628">
        <f t="shared" si="1029"/>
        <v>100</v>
      </c>
      <c r="J1628" t="s">
        <v>163</v>
      </c>
      <c r="K1628">
        <v>69</v>
      </c>
      <c r="M1628">
        <f t="shared" si="1046"/>
        <v>69</v>
      </c>
      <c r="N1628">
        <f t="shared" si="1047"/>
        <v>31</v>
      </c>
    </row>
    <row r="1629" spans="1:14" x14ac:dyDescent="0.25">
      <c r="A1629">
        <v>211</v>
      </c>
      <c r="B1629" s="1">
        <v>43944</v>
      </c>
      <c r="C1629" t="s">
        <v>319</v>
      </c>
      <c r="D1629" t="s">
        <v>26</v>
      </c>
      <c r="F1629" t="s">
        <v>47</v>
      </c>
      <c r="G1629">
        <v>4</v>
      </c>
      <c r="H1629">
        <v>380</v>
      </c>
      <c r="I1629">
        <f t="shared" si="1029"/>
        <v>1520</v>
      </c>
      <c r="J1629" t="s">
        <v>99</v>
      </c>
      <c r="K1629">
        <v>312</v>
      </c>
      <c r="M1629">
        <f t="shared" ref="M1629" si="1048">+K1629*G1629</f>
        <v>1248</v>
      </c>
      <c r="N1629">
        <f t="shared" ref="N1629" si="1049">+I1629-M1629</f>
        <v>272</v>
      </c>
    </row>
    <row r="1630" spans="1:14" x14ac:dyDescent="0.25">
      <c r="A1630">
        <v>212</v>
      </c>
      <c r="B1630" s="1">
        <v>43944</v>
      </c>
      <c r="C1630" t="s">
        <v>319</v>
      </c>
      <c r="D1630" t="s">
        <v>55</v>
      </c>
      <c r="F1630" t="s">
        <v>22</v>
      </c>
      <c r="G1630">
        <f>4/17</f>
        <v>0.23529411764705882</v>
      </c>
      <c r="H1630">
        <v>300</v>
      </c>
      <c r="I1630">
        <f t="shared" si="1029"/>
        <v>70.588235294117652</v>
      </c>
      <c r="J1630" t="s">
        <v>13</v>
      </c>
      <c r="K1630">
        <v>280</v>
      </c>
      <c r="M1630">
        <f t="shared" ref="M1630:M1631" si="1050">+K1630*G1630</f>
        <v>65.882352941176464</v>
      </c>
      <c r="N1630">
        <f t="shared" ref="N1630:N1631" si="1051">+I1630-M1630</f>
        <v>4.7058823529411882</v>
      </c>
    </row>
    <row r="1631" spans="1:14" x14ac:dyDescent="0.25">
      <c r="A1631">
        <v>213</v>
      </c>
      <c r="B1631" s="1">
        <v>43944</v>
      </c>
      <c r="C1631" t="s">
        <v>319</v>
      </c>
      <c r="D1631" t="s">
        <v>15</v>
      </c>
      <c r="F1631" t="s">
        <v>19</v>
      </c>
      <c r="G1631">
        <f>1/9</f>
        <v>0.1111111111111111</v>
      </c>
      <c r="H1631">
        <v>300</v>
      </c>
      <c r="I1631">
        <f t="shared" si="1029"/>
        <v>33.333333333333329</v>
      </c>
      <c r="J1631" t="s">
        <v>13</v>
      </c>
      <c r="K1631">
        <v>280</v>
      </c>
      <c r="M1631">
        <f t="shared" si="1050"/>
        <v>31.111111111111111</v>
      </c>
      <c r="N1631">
        <f t="shared" si="1051"/>
        <v>2.2222222222222179</v>
      </c>
    </row>
    <row r="1632" spans="1:14" x14ac:dyDescent="0.25">
      <c r="A1632">
        <v>214</v>
      </c>
      <c r="B1632" s="1">
        <v>43944</v>
      </c>
      <c r="C1632" t="s">
        <v>319</v>
      </c>
      <c r="D1632" t="s">
        <v>56</v>
      </c>
      <c r="F1632" t="s">
        <v>333</v>
      </c>
      <c r="G1632">
        <v>1</v>
      </c>
      <c r="H1632">
        <v>110</v>
      </c>
      <c r="I1632">
        <f t="shared" si="1029"/>
        <v>110</v>
      </c>
      <c r="J1632" t="s">
        <v>164</v>
      </c>
      <c r="K1632">
        <v>70</v>
      </c>
      <c r="M1632">
        <f t="shared" ref="M1632:M1634" si="1052">+K1632*G1632</f>
        <v>70</v>
      </c>
      <c r="N1632">
        <f t="shared" ref="N1632:N1634" si="1053">+I1632-M1632</f>
        <v>40</v>
      </c>
    </row>
    <row r="1633" spans="1:14" x14ac:dyDescent="0.25">
      <c r="A1633">
        <v>215</v>
      </c>
      <c r="B1633" s="1">
        <v>43944</v>
      </c>
      <c r="C1633" t="s">
        <v>319</v>
      </c>
      <c r="D1633" t="s">
        <v>55</v>
      </c>
      <c r="F1633" t="s">
        <v>313</v>
      </c>
      <c r="G1633">
        <v>28</v>
      </c>
      <c r="H1633">
        <v>270</v>
      </c>
      <c r="I1633">
        <f t="shared" si="1029"/>
        <v>7560</v>
      </c>
      <c r="J1633" t="s">
        <v>167</v>
      </c>
      <c r="K1633">
        <v>207</v>
      </c>
      <c r="M1633">
        <f t="shared" si="1052"/>
        <v>5796</v>
      </c>
      <c r="N1633">
        <f t="shared" si="1053"/>
        <v>1764</v>
      </c>
    </row>
    <row r="1634" spans="1:14" x14ac:dyDescent="0.25">
      <c r="A1634">
        <v>216</v>
      </c>
      <c r="B1634" s="1">
        <v>43944</v>
      </c>
      <c r="C1634" t="s">
        <v>319</v>
      </c>
      <c r="D1634" t="s">
        <v>55</v>
      </c>
      <c r="F1634" t="s">
        <v>270</v>
      </c>
      <c r="G1634">
        <v>6</v>
      </c>
      <c r="H1634">
        <v>300</v>
      </c>
      <c r="I1634">
        <f t="shared" si="1029"/>
        <v>1800</v>
      </c>
      <c r="J1634" t="s">
        <v>167</v>
      </c>
      <c r="K1634">
        <v>268</v>
      </c>
      <c r="M1634">
        <f t="shared" si="1052"/>
        <v>1608</v>
      </c>
      <c r="N1634">
        <f t="shared" si="1053"/>
        <v>192</v>
      </c>
    </row>
    <row r="1635" spans="1:14" x14ac:dyDescent="0.25">
      <c r="A1635">
        <v>217</v>
      </c>
      <c r="B1635" s="1">
        <v>43944</v>
      </c>
      <c r="C1635" t="s">
        <v>319</v>
      </c>
      <c r="D1635" t="s">
        <v>55</v>
      </c>
      <c r="F1635" t="s">
        <v>22</v>
      </c>
      <c r="G1635">
        <v>4</v>
      </c>
      <c r="H1635">
        <v>300</v>
      </c>
      <c r="I1635">
        <f t="shared" si="1029"/>
        <v>1200</v>
      </c>
      <c r="J1635" t="s">
        <v>13</v>
      </c>
      <c r="K1635">
        <v>280</v>
      </c>
      <c r="M1635">
        <f t="shared" ref="M1635" si="1054">+K1635*G1635</f>
        <v>1120</v>
      </c>
      <c r="N1635">
        <f t="shared" ref="N1635" si="1055">+I1635-M1635</f>
        <v>80</v>
      </c>
    </row>
    <row r="1636" spans="1:14" x14ac:dyDescent="0.25">
      <c r="A1636">
        <v>218</v>
      </c>
      <c r="B1636" s="1">
        <v>43944</v>
      </c>
      <c r="C1636" t="s">
        <v>319</v>
      </c>
      <c r="D1636" t="s">
        <v>25</v>
      </c>
      <c r="F1636" t="s">
        <v>225</v>
      </c>
      <c r="G1636">
        <v>5</v>
      </c>
      <c r="H1636">
        <v>60</v>
      </c>
      <c r="I1636">
        <f t="shared" si="1029"/>
        <v>300</v>
      </c>
      <c r="J1636" t="s">
        <v>165</v>
      </c>
      <c r="K1636">
        <f t="shared" ref="K1636" si="1056">380/12</f>
        <v>31.666666666666668</v>
      </c>
      <c r="M1636">
        <f t="shared" ref="M1636:M1638" si="1057">+K1636*G1636</f>
        <v>158.33333333333334</v>
      </c>
      <c r="N1636">
        <f t="shared" ref="N1636:N1638" si="1058">+I1636-M1636</f>
        <v>141.66666666666666</v>
      </c>
    </row>
    <row r="1637" spans="1:14" x14ac:dyDescent="0.25">
      <c r="A1637">
        <v>219</v>
      </c>
      <c r="B1637" s="1">
        <v>43944</v>
      </c>
      <c r="C1637" t="s">
        <v>319</v>
      </c>
      <c r="D1637" t="s">
        <v>25</v>
      </c>
      <c r="F1637" t="s">
        <v>172</v>
      </c>
      <c r="G1637">
        <v>5</v>
      </c>
      <c r="H1637">
        <v>100</v>
      </c>
      <c r="I1637">
        <f t="shared" si="1029"/>
        <v>500</v>
      </c>
      <c r="J1637" t="s">
        <v>163</v>
      </c>
      <c r="K1637">
        <v>69</v>
      </c>
      <c r="M1637">
        <f t="shared" si="1057"/>
        <v>345</v>
      </c>
      <c r="N1637">
        <f t="shared" si="1058"/>
        <v>155</v>
      </c>
    </row>
    <row r="1638" spans="1:14" x14ac:dyDescent="0.25">
      <c r="A1638">
        <v>220</v>
      </c>
      <c r="B1638" s="1">
        <v>43945</v>
      </c>
      <c r="C1638" t="s">
        <v>319</v>
      </c>
      <c r="D1638" t="s">
        <v>15</v>
      </c>
      <c r="F1638" t="s">
        <v>63</v>
      </c>
      <c r="G1638">
        <v>1.54</v>
      </c>
      <c r="H1638">
        <v>240</v>
      </c>
      <c r="I1638">
        <f t="shared" si="1029"/>
        <v>369.6</v>
      </c>
      <c r="J1638" t="s">
        <v>163</v>
      </c>
      <c r="K1638">
        <v>205</v>
      </c>
      <c r="M1638">
        <f t="shared" si="1057"/>
        <v>315.7</v>
      </c>
      <c r="N1638">
        <f t="shared" si="1058"/>
        <v>53.900000000000034</v>
      </c>
    </row>
    <row r="1639" spans="1:14" x14ac:dyDescent="0.25">
      <c r="A1639">
        <v>221</v>
      </c>
      <c r="B1639" s="1">
        <v>43945</v>
      </c>
      <c r="C1639" t="s">
        <v>319</v>
      </c>
      <c r="D1639" t="s">
        <v>25</v>
      </c>
      <c r="F1639" t="s">
        <v>305</v>
      </c>
      <c r="G1639">
        <v>1</v>
      </c>
      <c r="H1639">
        <v>60</v>
      </c>
      <c r="I1639">
        <f t="shared" si="1029"/>
        <v>60</v>
      </c>
      <c r="J1639" t="s">
        <v>165</v>
      </c>
      <c r="K1639">
        <f t="shared" ref="K1639" si="1059">380/12</f>
        <v>31.666666666666668</v>
      </c>
      <c r="M1639">
        <f t="shared" ref="M1639" si="1060">+K1639*G1639</f>
        <v>31.666666666666668</v>
      </c>
      <c r="N1639">
        <f t="shared" ref="N1639" si="1061">+I1639-M1639</f>
        <v>28.333333333333332</v>
      </c>
    </row>
    <row r="1640" spans="1:14" x14ac:dyDescent="0.25">
      <c r="A1640">
        <v>222</v>
      </c>
      <c r="B1640" s="1">
        <v>43945</v>
      </c>
      <c r="C1640" t="s">
        <v>319</v>
      </c>
      <c r="D1640" t="s">
        <v>56</v>
      </c>
      <c r="F1640" t="s">
        <v>38</v>
      </c>
      <c r="G1640">
        <v>1</v>
      </c>
      <c r="H1640">
        <v>110</v>
      </c>
      <c r="I1640">
        <f t="shared" si="1029"/>
        <v>110</v>
      </c>
      <c r="J1640" t="s">
        <v>164</v>
      </c>
      <c r="K1640">
        <v>70</v>
      </c>
      <c r="M1640">
        <f t="shared" ref="M1640" si="1062">+K1640*G1640</f>
        <v>70</v>
      </c>
      <c r="N1640">
        <f t="shared" ref="N1640" si="1063">+I1640-M1640</f>
        <v>40</v>
      </c>
    </row>
    <row r="1641" spans="1:14" x14ac:dyDescent="0.25">
      <c r="A1641">
        <v>223</v>
      </c>
      <c r="B1641" s="1">
        <v>43945</v>
      </c>
      <c r="C1641" t="s">
        <v>319</v>
      </c>
      <c r="D1641" t="s">
        <v>92</v>
      </c>
      <c r="F1641" t="s">
        <v>91</v>
      </c>
      <c r="G1641">
        <v>1</v>
      </c>
      <c r="H1641">
        <v>150</v>
      </c>
      <c r="I1641">
        <f t="shared" si="1029"/>
        <v>150</v>
      </c>
      <c r="J1641" t="s">
        <v>166</v>
      </c>
    </row>
    <row r="1642" spans="1:14" x14ac:dyDescent="0.25">
      <c r="A1642">
        <v>224</v>
      </c>
      <c r="B1642" s="1">
        <v>43945</v>
      </c>
      <c r="C1642" t="s">
        <v>319</v>
      </c>
      <c r="D1642" t="s">
        <v>26</v>
      </c>
      <c r="F1642" t="s">
        <v>144</v>
      </c>
      <c r="G1642">
        <v>25</v>
      </c>
      <c r="H1642">
        <v>425</v>
      </c>
      <c r="I1642">
        <f t="shared" si="1029"/>
        <v>10625</v>
      </c>
      <c r="J1642" t="s">
        <v>99</v>
      </c>
      <c r="K1642">
        <v>360</v>
      </c>
      <c r="M1642">
        <f t="shared" ref="M1642:M1643" si="1064">+K1642*G1642</f>
        <v>9000</v>
      </c>
      <c r="N1642">
        <f t="shared" ref="N1642:N1643" si="1065">+I1642-M1642</f>
        <v>1625</v>
      </c>
    </row>
    <row r="1643" spans="1:14" x14ac:dyDescent="0.25">
      <c r="A1643">
        <v>225</v>
      </c>
      <c r="B1643" s="1">
        <v>43945</v>
      </c>
      <c r="C1643" t="s">
        <v>319</v>
      </c>
      <c r="D1643" t="s">
        <v>56</v>
      </c>
      <c r="F1643" t="s">
        <v>176</v>
      </c>
      <c r="G1643">
        <v>8</v>
      </c>
      <c r="H1643">
        <v>260</v>
      </c>
      <c r="I1643">
        <f t="shared" si="1029"/>
        <v>2080</v>
      </c>
      <c r="J1643" t="s">
        <v>163</v>
      </c>
      <c r="K1643">
        <v>208</v>
      </c>
      <c r="M1643">
        <f t="shared" si="1064"/>
        <v>1664</v>
      </c>
      <c r="N1643">
        <f t="shared" si="1065"/>
        <v>416</v>
      </c>
    </row>
    <row r="1644" spans="1:14" x14ac:dyDescent="0.25">
      <c r="A1644">
        <v>226</v>
      </c>
      <c r="B1644" s="1">
        <v>43945</v>
      </c>
      <c r="C1644" t="s">
        <v>319</v>
      </c>
      <c r="D1644" t="s">
        <v>25</v>
      </c>
      <c r="F1644" t="s">
        <v>72</v>
      </c>
      <c r="G1644">
        <v>3</v>
      </c>
      <c r="H1644">
        <v>60</v>
      </c>
      <c r="I1644">
        <f t="shared" si="1029"/>
        <v>180</v>
      </c>
      <c r="J1644" t="s">
        <v>165</v>
      </c>
      <c r="K1644">
        <f t="shared" ref="K1644" si="1066">380/12</f>
        <v>31.666666666666668</v>
      </c>
      <c r="M1644">
        <f t="shared" ref="M1644:M1646" si="1067">+K1644*G1644</f>
        <v>95</v>
      </c>
      <c r="N1644">
        <f t="shared" ref="N1644:N1646" si="1068">+I1644-M1644</f>
        <v>85</v>
      </c>
    </row>
    <row r="1645" spans="1:14" x14ac:dyDescent="0.25">
      <c r="A1645">
        <v>227</v>
      </c>
      <c r="B1645" s="1">
        <v>43945</v>
      </c>
      <c r="C1645" t="s">
        <v>319</v>
      </c>
      <c r="D1645" t="s">
        <v>15</v>
      </c>
      <c r="F1645" t="s">
        <v>80</v>
      </c>
      <c r="G1645">
        <v>16</v>
      </c>
      <c r="H1645">
        <v>240</v>
      </c>
      <c r="I1645">
        <f t="shared" si="1029"/>
        <v>3840</v>
      </c>
      <c r="J1645" t="s">
        <v>163</v>
      </c>
      <c r="K1645">
        <v>213</v>
      </c>
      <c r="M1645">
        <f t="shared" si="1067"/>
        <v>3408</v>
      </c>
      <c r="N1645">
        <f t="shared" si="1068"/>
        <v>432</v>
      </c>
    </row>
    <row r="1646" spans="1:14" x14ac:dyDescent="0.25">
      <c r="A1646">
        <v>228</v>
      </c>
      <c r="B1646" s="1">
        <v>43945</v>
      </c>
      <c r="C1646" t="s">
        <v>319</v>
      </c>
      <c r="D1646" t="s">
        <v>44</v>
      </c>
      <c r="F1646" t="s">
        <v>226</v>
      </c>
      <c r="G1646">
        <v>1</v>
      </c>
      <c r="H1646">
        <v>35</v>
      </c>
      <c r="I1646">
        <f t="shared" si="1029"/>
        <v>35</v>
      </c>
      <c r="J1646" t="s">
        <v>166</v>
      </c>
      <c r="K1646">
        <v>26</v>
      </c>
      <c r="M1646">
        <f t="shared" si="1067"/>
        <v>26</v>
      </c>
      <c r="N1646">
        <f t="shared" si="1068"/>
        <v>9</v>
      </c>
    </row>
    <row r="1647" spans="1:14" x14ac:dyDescent="0.25">
      <c r="A1647">
        <v>229</v>
      </c>
      <c r="B1647" s="1">
        <v>43945</v>
      </c>
      <c r="C1647" t="s">
        <v>319</v>
      </c>
      <c r="D1647" t="s">
        <v>55</v>
      </c>
      <c r="F1647" t="s">
        <v>22</v>
      </c>
      <c r="G1647">
        <v>1</v>
      </c>
      <c r="H1647">
        <v>300</v>
      </c>
      <c r="I1647">
        <f t="shared" si="1029"/>
        <v>300</v>
      </c>
      <c r="J1647" t="s">
        <v>13</v>
      </c>
      <c r="K1647">
        <v>280</v>
      </c>
      <c r="M1647">
        <f t="shared" ref="M1647" si="1069">+K1647*G1647</f>
        <v>280</v>
      </c>
      <c r="N1647">
        <f t="shared" ref="N1647" si="1070">+I1647-M1647</f>
        <v>20</v>
      </c>
    </row>
    <row r="1648" spans="1:14" x14ac:dyDescent="0.25">
      <c r="A1648">
        <v>230</v>
      </c>
      <c r="B1648" s="1">
        <v>43945</v>
      </c>
      <c r="C1648" t="s">
        <v>319</v>
      </c>
      <c r="D1648" t="s">
        <v>92</v>
      </c>
      <c r="F1648" t="s">
        <v>66</v>
      </c>
      <c r="G1648">
        <v>1</v>
      </c>
      <c r="H1648">
        <v>120</v>
      </c>
      <c r="I1648">
        <f t="shared" si="1029"/>
        <v>120</v>
      </c>
      <c r="J1648" t="s">
        <v>187</v>
      </c>
      <c r="K1648">
        <v>88</v>
      </c>
      <c r="M1648">
        <f t="shared" ref="M1648:M1649" si="1071">+K1648*G1648</f>
        <v>88</v>
      </c>
      <c r="N1648">
        <f t="shared" ref="N1648:N1649" si="1072">+I1648-M1648</f>
        <v>32</v>
      </c>
    </row>
    <row r="1649" spans="1:14" x14ac:dyDescent="0.25">
      <c r="A1649">
        <v>231</v>
      </c>
      <c r="B1649" s="1">
        <v>43945</v>
      </c>
      <c r="C1649" t="s">
        <v>319</v>
      </c>
      <c r="D1649" t="s">
        <v>25</v>
      </c>
      <c r="F1649" t="s">
        <v>139</v>
      </c>
      <c r="G1649">
        <v>1</v>
      </c>
      <c r="H1649">
        <v>100</v>
      </c>
      <c r="I1649">
        <f t="shared" si="1029"/>
        <v>100</v>
      </c>
      <c r="J1649" t="s">
        <v>163</v>
      </c>
      <c r="K1649">
        <v>69</v>
      </c>
      <c r="M1649">
        <f t="shared" si="1071"/>
        <v>69</v>
      </c>
      <c r="N1649">
        <f t="shared" si="1072"/>
        <v>31</v>
      </c>
    </row>
    <row r="1650" spans="1:14" x14ac:dyDescent="0.25">
      <c r="A1650">
        <v>232</v>
      </c>
      <c r="B1650" s="1">
        <v>43945</v>
      </c>
      <c r="C1650" t="s">
        <v>319</v>
      </c>
      <c r="D1650" t="s">
        <v>68</v>
      </c>
      <c r="F1650" t="s">
        <v>334</v>
      </c>
      <c r="G1650">
        <v>4</v>
      </c>
      <c r="H1650">
        <v>50</v>
      </c>
      <c r="I1650">
        <f t="shared" si="1029"/>
        <v>200</v>
      </c>
      <c r="J1650" t="s">
        <v>395</v>
      </c>
    </row>
    <row r="1651" spans="1:14" x14ac:dyDescent="0.25">
      <c r="A1651">
        <v>233</v>
      </c>
      <c r="B1651" s="1">
        <v>43945</v>
      </c>
      <c r="C1651" t="s">
        <v>319</v>
      </c>
      <c r="D1651" t="s">
        <v>68</v>
      </c>
      <c r="F1651" t="s">
        <v>335</v>
      </c>
      <c r="G1651">
        <v>1</v>
      </c>
      <c r="H1651">
        <v>60</v>
      </c>
      <c r="I1651">
        <f t="shared" si="1029"/>
        <v>60</v>
      </c>
      <c r="J1651" t="s">
        <v>395</v>
      </c>
    </row>
    <row r="1652" spans="1:14" x14ac:dyDescent="0.25">
      <c r="A1652">
        <v>234</v>
      </c>
      <c r="B1652" s="1">
        <v>43945</v>
      </c>
      <c r="C1652" t="s">
        <v>319</v>
      </c>
      <c r="D1652" t="s">
        <v>15</v>
      </c>
      <c r="F1652" t="s">
        <v>33</v>
      </c>
      <c r="G1652">
        <v>1</v>
      </c>
      <c r="H1652">
        <v>230</v>
      </c>
      <c r="I1652">
        <f t="shared" si="1029"/>
        <v>230</v>
      </c>
      <c r="J1652" t="s">
        <v>163</v>
      </c>
      <c r="K1652">
        <v>204</v>
      </c>
      <c r="M1652">
        <f t="shared" ref="M1652:M1661" si="1073">+K1652*G1652</f>
        <v>204</v>
      </c>
      <c r="N1652">
        <f t="shared" ref="N1652:N1661" si="1074">+I1652-M1652</f>
        <v>26</v>
      </c>
    </row>
    <row r="1653" spans="1:14" x14ac:dyDescent="0.25">
      <c r="A1653">
        <v>235</v>
      </c>
      <c r="B1653" s="1">
        <v>43945</v>
      </c>
      <c r="C1653" t="s">
        <v>319</v>
      </c>
      <c r="D1653" t="s">
        <v>15</v>
      </c>
      <c r="F1653" t="s">
        <v>29</v>
      </c>
      <c r="G1653">
        <v>1.53</v>
      </c>
      <c r="H1653">
        <v>230</v>
      </c>
      <c r="I1653">
        <f t="shared" si="1029"/>
        <v>351.90000000000003</v>
      </c>
      <c r="J1653" t="s">
        <v>163</v>
      </c>
      <c r="K1653">
        <v>197</v>
      </c>
      <c r="M1653">
        <f t="shared" si="1073"/>
        <v>301.41000000000003</v>
      </c>
      <c r="N1653">
        <f t="shared" si="1074"/>
        <v>50.490000000000009</v>
      </c>
    </row>
    <row r="1654" spans="1:14" x14ac:dyDescent="0.25">
      <c r="A1654">
        <v>236</v>
      </c>
      <c r="B1654" s="1">
        <v>43946</v>
      </c>
      <c r="C1654" t="s">
        <v>319</v>
      </c>
      <c r="D1654" t="s">
        <v>25</v>
      </c>
      <c r="F1654" t="s">
        <v>172</v>
      </c>
      <c r="G1654">
        <v>1</v>
      </c>
      <c r="H1654">
        <v>100</v>
      </c>
      <c r="I1654">
        <f t="shared" si="1029"/>
        <v>100</v>
      </c>
      <c r="J1654" t="s">
        <v>163</v>
      </c>
      <c r="K1654">
        <v>69</v>
      </c>
      <c r="M1654">
        <f t="shared" si="1073"/>
        <v>69</v>
      </c>
      <c r="N1654">
        <f t="shared" si="1074"/>
        <v>31</v>
      </c>
    </row>
    <row r="1655" spans="1:14" x14ac:dyDescent="0.25">
      <c r="A1655">
        <v>237</v>
      </c>
      <c r="B1655" s="1">
        <v>43946</v>
      </c>
      <c r="C1655" t="s">
        <v>319</v>
      </c>
      <c r="D1655" t="s">
        <v>15</v>
      </c>
      <c r="F1655" t="s">
        <v>20</v>
      </c>
      <c r="G1655">
        <v>15</v>
      </c>
      <c r="H1655">
        <v>240</v>
      </c>
      <c r="I1655">
        <f t="shared" si="1029"/>
        <v>3600</v>
      </c>
      <c r="J1655" t="s">
        <v>163</v>
      </c>
      <c r="K1655">
        <v>217</v>
      </c>
      <c r="M1655">
        <f t="shared" si="1073"/>
        <v>3255</v>
      </c>
      <c r="N1655">
        <f t="shared" si="1074"/>
        <v>345</v>
      </c>
    </row>
    <row r="1656" spans="1:14" x14ac:dyDescent="0.25">
      <c r="A1656">
        <v>238</v>
      </c>
      <c r="B1656" s="1">
        <v>43946</v>
      </c>
      <c r="C1656" t="s">
        <v>319</v>
      </c>
      <c r="D1656" t="s">
        <v>15</v>
      </c>
      <c r="F1656" t="s">
        <v>296</v>
      </c>
      <c r="G1656">
        <v>6</v>
      </c>
      <c r="H1656">
        <v>240</v>
      </c>
      <c r="I1656">
        <f t="shared" si="1029"/>
        <v>1440</v>
      </c>
      <c r="J1656" t="s">
        <v>163</v>
      </c>
      <c r="K1656">
        <v>177</v>
      </c>
      <c r="M1656">
        <f t="shared" si="1073"/>
        <v>1062</v>
      </c>
      <c r="N1656">
        <f t="shared" si="1074"/>
        <v>378</v>
      </c>
    </row>
    <row r="1657" spans="1:14" x14ac:dyDescent="0.25">
      <c r="A1657">
        <v>239</v>
      </c>
      <c r="B1657" s="1">
        <v>43946</v>
      </c>
      <c r="C1657" t="s">
        <v>319</v>
      </c>
      <c r="D1657" t="s">
        <v>56</v>
      </c>
      <c r="F1657" t="s">
        <v>267</v>
      </c>
      <c r="G1657">
        <v>6</v>
      </c>
      <c r="H1657">
        <v>160</v>
      </c>
      <c r="I1657">
        <f t="shared" si="1029"/>
        <v>960</v>
      </c>
      <c r="J1657" t="s">
        <v>163</v>
      </c>
      <c r="K1657">
        <v>121</v>
      </c>
      <c r="M1657">
        <f t="shared" si="1073"/>
        <v>726</v>
      </c>
      <c r="N1657">
        <f t="shared" si="1074"/>
        <v>234</v>
      </c>
    </row>
    <row r="1658" spans="1:14" x14ac:dyDescent="0.25">
      <c r="A1658">
        <v>240</v>
      </c>
      <c r="B1658" s="1">
        <v>43946</v>
      </c>
      <c r="C1658" t="s">
        <v>319</v>
      </c>
      <c r="D1658" t="s">
        <v>25</v>
      </c>
      <c r="F1658" t="s">
        <v>218</v>
      </c>
      <c r="G1658">
        <v>2</v>
      </c>
      <c r="H1658">
        <v>100</v>
      </c>
      <c r="I1658">
        <f t="shared" si="1029"/>
        <v>200</v>
      </c>
      <c r="J1658" t="s">
        <v>163</v>
      </c>
      <c r="K1658">
        <v>52</v>
      </c>
      <c r="M1658">
        <f t="shared" si="1073"/>
        <v>104</v>
      </c>
      <c r="N1658">
        <f t="shared" si="1074"/>
        <v>96</v>
      </c>
    </row>
    <row r="1659" spans="1:14" x14ac:dyDescent="0.25">
      <c r="A1659">
        <v>241</v>
      </c>
      <c r="B1659" s="1">
        <v>43946</v>
      </c>
      <c r="C1659" t="s">
        <v>319</v>
      </c>
      <c r="D1659" t="s">
        <v>25</v>
      </c>
      <c r="F1659" t="s">
        <v>145</v>
      </c>
      <c r="G1659">
        <v>2</v>
      </c>
      <c r="H1659">
        <v>100</v>
      </c>
      <c r="I1659">
        <f t="shared" si="1029"/>
        <v>200</v>
      </c>
      <c r="J1659" t="s">
        <v>163</v>
      </c>
      <c r="K1659">
        <v>69</v>
      </c>
      <c r="M1659">
        <f t="shared" si="1073"/>
        <v>138</v>
      </c>
      <c r="N1659">
        <f t="shared" si="1074"/>
        <v>62</v>
      </c>
    </row>
    <row r="1660" spans="1:14" x14ac:dyDescent="0.25">
      <c r="A1660">
        <v>242</v>
      </c>
      <c r="B1660" s="1">
        <v>43946</v>
      </c>
      <c r="C1660" t="s">
        <v>319</v>
      </c>
      <c r="D1660" t="s">
        <v>15</v>
      </c>
      <c r="F1660" t="s">
        <v>219</v>
      </c>
      <c r="G1660">
        <v>3</v>
      </c>
      <c r="H1660">
        <v>240</v>
      </c>
      <c r="I1660">
        <f t="shared" si="1029"/>
        <v>720</v>
      </c>
      <c r="J1660" t="s">
        <v>163</v>
      </c>
      <c r="K1660">
        <v>213</v>
      </c>
      <c r="M1660">
        <f t="shared" si="1073"/>
        <v>639</v>
      </c>
      <c r="N1660">
        <f t="shared" si="1074"/>
        <v>81</v>
      </c>
    </row>
    <row r="1661" spans="1:14" x14ac:dyDescent="0.25">
      <c r="A1661">
        <v>243</v>
      </c>
      <c r="B1661" s="1">
        <v>43946</v>
      </c>
      <c r="C1661" t="s">
        <v>319</v>
      </c>
      <c r="D1661" t="s">
        <v>56</v>
      </c>
      <c r="F1661" t="s">
        <v>267</v>
      </c>
      <c r="G1661">
        <v>1</v>
      </c>
      <c r="H1661">
        <v>170</v>
      </c>
      <c r="I1661">
        <f t="shared" si="1029"/>
        <v>170</v>
      </c>
      <c r="J1661" t="s">
        <v>163</v>
      </c>
      <c r="K1661">
        <v>121</v>
      </c>
      <c r="M1661">
        <f t="shared" si="1073"/>
        <v>121</v>
      </c>
      <c r="N1661">
        <f t="shared" si="1074"/>
        <v>49</v>
      </c>
    </row>
    <row r="1662" spans="1:14" x14ac:dyDescent="0.25">
      <c r="A1662">
        <v>244</v>
      </c>
      <c r="B1662" s="1">
        <v>43946</v>
      </c>
      <c r="C1662" t="s">
        <v>319</v>
      </c>
      <c r="D1662" t="s">
        <v>92</v>
      </c>
      <c r="F1662" t="s">
        <v>91</v>
      </c>
      <c r="G1662">
        <v>1</v>
      </c>
      <c r="H1662">
        <v>46</v>
      </c>
      <c r="I1662">
        <f t="shared" si="1029"/>
        <v>46</v>
      </c>
      <c r="J1662" t="s">
        <v>198</v>
      </c>
    </row>
    <row r="1663" spans="1:14" x14ac:dyDescent="0.25">
      <c r="A1663">
        <v>245</v>
      </c>
      <c r="B1663" s="1">
        <v>43946</v>
      </c>
      <c r="C1663" t="s">
        <v>319</v>
      </c>
      <c r="D1663" t="s">
        <v>15</v>
      </c>
      <c r="F1663" t="s">
        <v>63</v>
      </c>
      <c r="G1663">
        <v>1</v>
      </c>
      <c r="H1663">
        <v>240</v>
      </c>
      <c r="I1663">
        <f t="shared" si="1029"/>
        <v>240</v>
      </c>
      <c r="J1663" t="s">
        <v>163</v>
      </c>
      <c r="K1663">
        <v>205</v>
      </c>
      <c r="M1663">
        <f t="shared" ref="M1663" si="1075">+K1663*G1663</f>
        <v>205</v>
      </c>
      <c r="N1663">
        <f t="shared" ref="N1663" si="1076">+I1663-M1663</f>
        <v>35</v>
      </c>
    </row>
    <row r="1664" spans="1:14" x14ac:dyDescent="0.25">
      <c r="A1664">
        <v>246</v>
      </c>
      <c r="B1664" s="1">
        <v>43946</v>
      </c>
      <c r="C1664" t="s">
        <v>319</v>
      </c>
      <c r="D1664" t="s">
        <v>56</v>
      </c>
      <c r="F1664" t="s">
        <v>38</v>
      </c>
      <c r="G1664">
        <v>1</v>
      </c>
      <c r="H1664">
        <v>110</v>
      </c>
      <c r="I1664">
        <f t="shared" si="1029"/>
        <v>110</v>
      </c>
      <c r="J1664" t="s">
        <v>164</v>
      </c>
      <c r="K1664">
        <v>70</v>
      </c>
      <c r="M1664">
        <f t="shared" ref="M1664:M1667" si="1077">+K1664*G1664</f>
        <v>70</v>
      </c>
      <c r="N1664">
        <f t="shared" ref="N1664:N1667" si="1078">+I1664-M1664</f>
        <v>40</v>
      </c>
    </row>
    <row r="1665" spans="1:14" x14ac:dyDescent="0.25">
      <c r="A1665">
        <v>247</v>
      </c>
      <c r="B1665" s="1">
        <v>43946</v>
      </c>
      <c r="C1665" t="s">
        <v>319</v>
      </c>
      <c r="D1665" t="s">
        <v>25</v>
      </c>
      <c r="F1665" t="s">
        <v>173</v>
      </c>
      <c r="G1665">
        <v>1</v>
      </c>
      <c r="H1665">
        <v>100</v>
      </c>
      <c r="I1665">
        <f t="shared" si="1029"/>
        <v>100</v>
      </c>
      <c r="J1665" t="s">
        <v>163</v>
      </c>
      <c r="K1665">
        <v>69</v>
      </c>
      <c r="M1665">
        <f t="shared" si="1077"/>
        <v>69</v>
      </c>
      <c r="N1665">
        <f t="shared" si="1078"/>
        <v>31</v>
      </c>
    </row>
    <row r="1666" spans="1:14" x14ac:dyDescent="0.25">
      <c r="A1666">
        <v>248</v>
      </c>
      <c r="B1666" s="1">
        <v>43946</v>
      </c>
      <c r="C1666" t="s">
        <v>319</v>
      </c>
      <c r="D1666" t="s">
        <v>15</v>
      </c>
      <c r="F1666" t="s">
        <v>29</v>
      </c>
      <c r="G1666">
        <v>1.53</v>
      </c>
      <c r="H1666">
        <v>230</v>
      </c>
      <c r="I1666">
        <f t="shared" si="1029"/>
        <v>351.90000000000003</v>
      </c>
      <c r="J1666" t="s">
        <v>163</v>
      </c>
      <c r="K1666">
        <v>197</v>
      </c>
      <c r="M1666">
        <f t="shared" si="1077"/>
        <v>301.41000000000003</v>
      </c>
      <c r="N1666">
        <f t="shared" si="1078"/>
        <v>50.490000000000009</v>
      </c>
    </row>
    <row r="1667" spans="1:14" x14ac:dyDescent="0.25">
      <c r="A1667">
        <v>249</v>
      </c>
      <c r="B1667" s="1">
        <v>43946</v>
      </c>
      <c r="C1667" t="s">
        <v>319</v>
      </c>
      <c r="D1667" t="s">
        <v>15</v>
      </c>
      <c r="F1667" t="s">
        <v>45</v>
      </c>
      <c r="G1667">
        <f>530/300</f>
        <v>1.7666666666666666</v>
      </c>
      <c r="H1667">
        <v>300</v>
      </c>
      <c r="I1667">
        <f t="shared" si="1029"/>
        <v>530</v>
      </c>
      <c r="J1667" t="s">
        <v>13</v>
      </c>
      <c r="K1667">
        <v>280</v>
      </c>
      <c r="M1667">
        <f t="shared" si="1077"/>
        <v>494.66666666666663</v>
      </c>
      <c r="N1667">
        <f t="shared" si="1078"/>
        <v>35.333333333333371</v>
      </c>
    </row>
    <row r="1668" spans="1:14" x14ac:dyDescent="0.25">
      <c r="A1668">
        <v>250</v>
      </c>
      <c r="B1668" s="1">
        <v>43946</v>
      </c>
      <c r="C1668" t="s">
        <v>319</v>
      </c>
      <c r="D1668" t="s">
        <v>25</v>
      </c>
      <c r="F1668" t="s">
        <v>148</v>
      </c>
      <c r="G1668">
        <v>1</v>
      </c>
      <c r="H1668">
        <v>60</v>
      </c>
      <c r="I1668">
        <f t="shared" ref="I1668:I1731" si="1079">+G1668*H1668</f>
        <v>60</v>
      </c>
      <c r="J1668" t="s">
        <v>165</v>
      </c>
      <c r="K1668">
        <f t="shared" ref="K1668" si="1080">380/12</f>
        <v>31.666666666666668</v>
      </c>
      <c r="M1668">
        <f t="shared" ref="M1668:M1669" si="1081">+K1668*G1668</f>
        <v>31.666666666666668</v>
      </c>
      <c r="N1668">
        <f t="shared" ref="N1668:N1672" si="1082">+I1668-M1668</f>
        <v>28.333333333333332</v>
      </c>
    </row>
    <row r="1669" spans="1:14" x14ac:dyDescent="0.25">
      <c r="A1669">
        <v>251</v>
      </c>
      <c r="B1669" s="1">
        <v>43946</v>
      </c>
      <c r="C1669" t="s">
        <v>319</v>
      </c>
      <c r="D1669" t="s">
        <v>15</v>
      </c>
      <c r="F1669" t="s">
        <v>45</v>
      </c>
      <c r="G1669">
        <f>2/9</f>
        <v>0.22222222222222221</v>
      </c>
      <c r="H1669">
        <v>300</v>
      </c>
      <c r="I1669">
        <f t="shared" si="1079"/>
        <v>66.666666666666657</v>
      </c>
      <c r="J1669" t="s">
        <v>13</v>
      </c>
      <c r="K1669">
        <v>280</v>
      </c>
      <c r="M1669">
        <f t="shared" si="1081"/>
        <v>62.222222222222221</v>
      </c>
      <c r="N1669">
        <f t="shared" si="1082"/>
        <v>4.4444444444444358</v>
      </c>
    </row>
    <row r="1670" spans="1:14" x14ac:dyDescent="0.25">
      <c r="A1670">
        <v>252</v>
      </c>
      <c r="B1670" s="1">
        <v>43946</v>
      </c>
      <c r="C1670" t="s">
        <v>319</v>
      </c>
      <c r="D1670" t="s">
        <v>15</v>
      </c>
      <c r="G1670">
        <v>1</v>
      </c>
      <c r="H1670">
        <v>240</v>
      </c>
      <c r="I1670">
        <f t="shared" si="1079"/>
        <v>240</v>
      </c>
      <c r="J1670" t="s">
        <v>163</v>
      </c>
      <c r="M1670" t="str">
        <f t="shared" ref="M1670:M1672" si="1083">+IF(K1670=0,(""),(K1670*G1670))</f>
        <v/>
      </c>
    </row>
    <row r="1671" spans="1:14" x14ac:dyDescent="0.25">
      <c r="A1671">
        <v>253</v>
      </c>
      <c r="B1671" s="1">
        <v>43946</v>
      </c>
      <c r="C1671" t="s">
        <v>319</v>
      </c>
      <c r="D1671" t="s">
        <v>15</v>
      </c>
      <c r="F1671" t="s">
        <v>29</v>
      </c>
      <c r="G1671">
        <v>1</v>
      </c>
      <c r="H1671">
        <v>230</v>
      </c>
      <c r="I1671">
        <f t="shared" si="1079"/>
        <v>230</v>
      </c>
      <c r="J1671" t="s">
        <v>163</v>
      </c>
      <c r="K1671">
        <v>197</v>
      </c>
      <c r="M1671">
        <f t="shared" si="1083"/>
        <v>197</v>
      </c>
      <c r="N1671">
        <f t="shared" si="1082"/>
        <v>33</v>
      </c>
    </row>
    <row r="1672" spans="1:14" x14ac:dyDescent="0.25">
      <c r="A1672">
        <v>254</v>
      </c>
      <c r="B1672" s="1">
        <v>43948</v>
      </c>
      <c r="C1672" t="s">
        <v>319</v>
      </c>
      <c r="D1672" t="s">
        <v>56</v>
      </c>
      <c r="F1672" t="s">
        <v>38</v>
      </c>
      <c r="G1672">
        <v>3</v>
      </c>
      <c r="H1672">
        <v>100</v>
      </c>
      <c r="I1672">
        <f t="shared" si="1079"/>
        <v>300</v>
      </c>
      <c r="J1672" t="s">
        <v>164</v>
      </c>
      <c r="K1672">
        <v>70</v>
      </c>
      <c r="M1672">
        <f t="shared" si="1083"/>
        <v>210</v>
      </c>
      <c r="N1672">
        <f t="shared" si="1082"/>
        <v>90</v>
      </c>
    </row>
    <row r="1673" spans="1:14" x14ac:dyDescent="0.25">
      <c r="A1673">
        <v>255</v>
      </c>
      <c r="B1673" s="1">
        <v>43948</v>
      </c>
      <c r="C1673" t="s">
        <v>319</v>
      </c>
      <c r="D1673" t="s">
        <v>26</v>
      </c>
      <c r="F1673" t="s">
        <v>144</v>
      </c>
      <c r="G1673">
        <v>35</v>
      </c>
      <c r="H1673">
        <v>425</v>
      </c>
      <c r="I1673">
        <f t="shared" si="1079"/>
        <v>14875</v>
      </c>
      <c r="J1673" t="s">
        <v>99</v>
      </c>
      <c r="K1673">
        <v>360</v>
      </c>
      <c r="M1673">
        <f>+IF(K1673=0,(""),(K1673*G1673))</f>
        <v>12600</v>
      </c>
      <c r="N1673">
        <f>+IF(K1673=0,(""),(I1673-M1673))</f>
        <v>2275</v>
      </c>
    </row>
    <row r="1674" spans="1:14" x14ac:dyDescent="0.25">
      <c r="A1674">
        <v>256</v>
      </c>
      <c r="B1674" s="1">
        <v>43948</v>
      </c>
      <c r="C1674" t="s">
        <v>319</v>
      </c>
      <c r="D1674" t="s">
        <v>15</v>
      </c>
      <c r="F1674" t="s">
        <v>29</v>
      </c>
      <c r="G1674">
        <v>3</v>
      </c>
      <c r="H1674">
        <v>230</v>
      </c>
      <c r="I1674">
        <f t="shared" si="1079"/>
        <v>690</v>
      </c>
      <c r="J1674" t="s">
        <v>163</v>
      </c>
      <c r="K1674">
        <v>198</v>
      </c>
      <c r="M1674">
        <f t="shared" ref="M1674:M1681" si="1084">+IF(K1674=0,(""),(K1674*G1674))</f>
        <v>594</v>
      </c>
      <c r="N1674">
        <f t="shared" ref="N1674:N1681" si="1085">+IF(K1674=0,(""),(I1674-M1674))</f>
        <v>96</v>
      </c>
    </row>
    <row r="1675" spans="1:14" x14ac:dyDescent="0.25">
      <c r="A1675">
        <v>257</v>
      </c>
      <c r="B1675" s="1">
        <v>43948</v>
      </c>
      <c r="C1675" t="s">
        <v>319</v>
      </c>
      <c r="D1675" t="s">
        <v>56</v>
      </c>
      <c r="F1675" t="s">
        <v>267</v>
      </c>
      <c r="G1675">
        <v>3</v>
      </c>
      <c r="H1675">
        <v>170</v>
      </c>
      <c r="I1675">
        <f t="shared" si="1079"/>
        <v>510</v>
      </c>
      <c r="J1675" t="s">
        <v>163</v>
      </c>
      <c r="K1675">
        <v>123</v>
      </c>
      <c r="M1675">
        <f t="shared" si="1084"/>
        <v>369</v>
      </c>
      <c r="N1675">
        <f t="shared" si="1085"/>
        <v>141</v>
      </c>
    </row>
    <row r="1676" spans="1:14" x14ac:dyDescent="0.25">
      <c r="A1676">
        <v>258</v>
      </c>
      <c r="B1676" s="1">
        <v>43948</v>
      </c>
      <c r="C1676" t="s">
        <v>319</v>
      </c>
      <c r="D1676" t="s">
        <v>25</v>
      </c>
      <c r="F1676" t="s">
        <v>225</v>
      </c>
      <c r="G1676">
        <v>1</v>
      </c>
      <c r="H1676">
        <v>60</v>
      </c>
      <c r="I1676">
        <f t="shared" si="1079"/>
        <v>60</v>
      </c>
      <c r="J1676" t="s">
        <v>165</v>
      </c>
      <c r="K1676">
        <f t="shared" ref="K1676" si="1086">380/12</f>
        <v>31.666666666666668</v>
      </c>
      <c r="M1676">
        <f t="shared" si="1084"/>
        <v>31.666666666666668</v>
      </c>
      <c r="N1676">
        <f t="shared" si="1085"/>
        <v>28.333333333333332</v>
      </c>
    </row>
    <row r="1677" spans="1:14" x14ac:dyDescent="0.25">
      <c r="A1677">
        <v>259</v>
      </c>
      <c r="B1677" s="1">
        <v>43948</v>
      </c>
      <c r="C1677" t="s">
        <v>319</v>
      </c>
      <c r="D1677" t="s">
        <v>15</v>
      </c>
      <c r="F1677" t="s">
        <v>54</v>
      </c>
      <c r="G1677">
        <v>20</v>
      </c>
      <c r="H1677">
        <v>240</v>
      </c>
      <c r="I1677">
        <f t="shared" si="1079"/>
        <v>4800</v>
      </c>
      <c r="J1677" t="s">
        <v>163</v>
      </c>
      <c r="K1677">
        <v>212</v>
      </c>
      <c r="M1677">
        <f t="shared" si="1084"/>
        <v>4240</v>
      </c>
      <c r="N1677">
        <f t="shared" si="1085"/>
        <v>560</v>
      </c>
    </row>
    <row r="1678" spans="1:14" x14ac:dyDescent="0.25">
      <c r="A1678">
        <v>260</v>
      </c>
      <c r="B1678" s="1">
        <v>43948</v>
      </c>
      <c r="C1678" t="s">
        <v>319</v>
      </c>
      <c r="D1678" t="s">
        <v>15</v>
      </c>
      <c r="F1678" t="s">
        <v>209</v>
      </c>
      <c r="G1678">
        <v>0.38300000000000001</v>
      </c>
      <c r="H1678">
        <v>360</v>
      </c>
      <c r="I1678">
        <f t="shared" si="1079"/>
        <v>137.88</v>
      </c>
      <c r="J1678" t="s">
        <v>163</v>
      </c>
      <c r="M1678" t="str">
        <f t="shared" si="1084"/>
        <v/>
      </c>
      <c r="N1678" t="str">
        <f t="shared" si="1085"/>
        <v/>
      </c>
    </row>
    <row r="1679" spans="1:14" x14ac:dyDescent="0.25">
      <c r="A1679">
        <v>261</v>
      </c>
      <c r="B1679" s="1">
        <v>43948</v>
      </c>
      <c r="C1679" t="s">
        <v>319</v>
      </c>
      <c r="D1679" t="s">
        <v>15</v>
      </c>
      <c r="F1679" t="s">
        <v>17</v>
      </c>
      <c r="G1679">
        <v>8.5</v>
      </c>
      <c r="H1679">
        <v>360</v>
      </c>
      <c r="I1679">
        <f t="shared" si="1079"/>
        <v>3060</v>
      </c>
      <c r="J1679" t="s">
        <v>167</v>
      </c>
      <c r="K1679">
        <v>306</v>
      </c>
      <c r="M1679">
        <f t="shared" si="1084"/>
        <v>2601</v>
      </c>
      <c r="N1679">
        <f t="shared" si="1085"/>
        <v>459</v>
      </c>
    </row>
    <row r="1680" spans="1:14" x14ac:dyDescent="0.25">
      <c r="A1680">
        <v>262</v>
      </c>
      <c r="B1680" s="1">
        <v>43948</v>
      </c>
      <c r="C1680" t="s">
        <v>319</v>
      </c>
      <c r="D1680" t="s">
        <v>25</v>
      </c>
      <c r="F1680" t="s">
        <v>72</v>
      </c>
      <c r="G1680">
        <v>1</v>
      </c>
      <c r="H1680">
        <v>50</v>
      </c>
      <c r="I1680">
        <f t="shared" si="1079"/>
        <v>50</v>
      </c>
      <c r="J1680" t="s">
        <v>165</v>
      </c>
      <c r="K1680">
        <f t="shared" ref="K1680" si="1087">380/12</f>
        <v>31.666666666666668</v>
      </c>
      <c r="M1680">
        <f t="shared" si="1084"/>
        <v>31.666666666666668</v>
      </c>
      <c r="N1680">
        <f t="shared" si="1085"/>
        <v>18.333333333333332</v>
      </c>
    </row>
    <row r="1681" spans="1:14" x14ac:dyDescent="0.25">
      <c r="A1681">
        <v>263</v>
      </c>
      <c r="B1681" s="1">
        <v>43948</v>
      </c>
      <c r="C1681" t="s">
        <v>319</v>
      </c>
      <c r="D1681" t="s">
        <v>15</v>
      </c>
      <c r="F1681" t="s">
        <v>29</v>
      </c>
      <c r="G1681">
        <v>1.53</v>
      </c>
      <c r="H1681">
        <v>230</v>
      </c>
      <c r="I1681">
        <f t="shared" si="1079"/>
        <v>351.90000000000003</v>
      </c>
      <c r="J1681" t="s">
        <v>163</v>
      </c>
      <c r="K1681">
        <v>198</v>
      </c>
      <c r="M1681">
        <f t="shared" si="1084"/>
        <v>302.94</v>
      </c>
      <c r="N1681">
        <f t="shared" si="1085"/>
        <v>48.960000000000036</v>
      </c>
    </row>
    <row r="1682" spans="1:14" x14ac:dyDescent="0.25">
      <c r="A1682">
        <v>264</v>
      </c>
      <c r="B1682" s="1">
        <v>43949</v>
      </c>
      <c r="C1682" t="s">
        <v>319</v>
      </c>
      <c r="D1682" t="s">
        <v>15</v>
      </c>
      <c r="F1682" t="s">
        <v>20</v>
      </c>
      <c r="G1682">
        <v>1</v>
      </c>
      <c r="H1682">
        <v>240</v>
      </c>
      <c r="I1682">
        <f t="shared" si="1079"/>
        <v>240</v>
      </c>
      <c r="J1682" t="s">
        <v>163</v>
      </c>
      <c r="K1682">
        <v>217</v>
      </c>
      <c r="M1682">
        <f t="shared" ref="M1682:M1698" si="1088">+IF(K1682=0,(""),(K1682*G1682))</f>
        <v>217</v>
      </c>
      <c r="N1682">
        <f t="shared" ref="N1682:N1698" si="1089">+IF(K1682=0,(""),(I1682-M1682))</f>
        <v>23</v>
      </c>
    </row>
    <row r="1683" spans="1:14" x14ac:dyDescent="0.25">
      <c r="A1683">
        <v>265</v>
      </c>
      <c r="B1683" s="1">
        <v>43949</v>
      </c>
      <c r="C1683" t="s">
        <v>319</v>
      </c>
      <c r="D1683" t="s">
        <v>92</v>
      </c>
      <c r="F1683" t="s">
        <v>275</v>
      </c>
      <c r="G1683">
        <v>1</v>
      </c>
      <c r="H1683">
        <v>180</v>
      </c>
      <c r="I1683">
        <f t="shared" si="1079"/>
        <v>180</v>
      </c>
      <c r="J1683" t="s">
        <v>166</v>
      </c>
      <c r="M1683" t="str">
        <f t="shared" si="1088"/>
        <v/>
      </c>
      <c r="N1683" t="str">
        <f t="shared" si="1089"/>
        <v/>
      </c>
    </row>
    <row r="1684" spans="1:14" x14ac:dyDescent="0.25">
      <c r="A1684">
        <v>266</v>
      </c>
      <c r="B1684" s="1">
        <v>43949</v>
      </c>
      <c r="C1684" t="s">
        <v>319</v>
      </c>
      <c r="D1684" t="s">
        <v>70</v>
      </c>
      <c r="F1684" t="s">
        <v>227</v>
      </c>
      <c r="G1684">
        <v>1</v>
      </c>
      <c r="H1684">
        <v>1650</v>
      </c>
      <c r="I1684">
        <f t="shared" si="1079"/>
        <v>1650</v>
      </c>
      <c r="J1684" t="s">
        <v>167</v>
      </c>
      <c r="K1684">
        <v>1440</v>
      </c>
      <c r="M1684">
        <f t="shared" si="1088"/>
        <v>1440</v>
      </c>
      <c r="N1684">
        <f t="shared" si="1089"/>
        <v>210</v>
      </c>
    </row>
    <row r="1685" spans="1:14" x14ac:dyDescent="0.25">
      <c r="A1685">
        <v>267</v>
      </c>
      <c r="B1685" s="1">
        <v>43949</v>
      </c>
      <c r="C1685" t="s">
        <v>319</v>
      </c>
      <c r="D1685" t="s">
        <v>85</v>
      </c>
      <c r="F1685" t="s">
        <v>216</v>
      </c>
      <c r="G1685">
        <v>1</v>
      </c>
      <c r="H1685">
        <v>900</v>
      </c>
      <c r="I1685">
        <f t="shared" si="1079"/>
        <v>900</v>
      </c>
      <c r="J1685" t="s">
        <v>167</v>
      </c>
      <c r="K1685">
        <v>480</v>
      </c>
      <c r="M1685">
        <f t="shared" si="1088"/>
        <v>480</v>
      </c>
      <c r="N1685">
        <f t="shared" si="1089"/>
        <v>420</v>
      </c>
    </row>
    <row r="1686" spans="1:14" x14ac:dyDescent="0.25">
      <c r="A1686">
        <v>268</v>
      </c>
      <c r="B1686" s="1">
        <v>43949</v>
      </c>
      <c r="C1686" t="s">
        <v>319</v>
      </c>
      <c r="D1686" t="s">
        <v>85</v>
      </c>
      <c r="F1686" t="s">
        <v>266</v>
      </c>
      <c r="G1686">
        <v>1</v>
      </c>
      <c r="H1686">
        <v>250</v>
      </c>
      <c r="I1686">
        <f t="shared" si="1079"/>
        <v>250</v>
      </c>
      <c r="J1686" t="s">
        <v>166</v>
      </c>
      <c r="M1686" t="str">
        <f t="shared" si="1088"/>
        <v/>
      </c>
      <c r="N1686" t="str">
        <f t="shared" si="1089"/>
        <v/>
      </c>
    </row>
    <row r="1687" spans="1:14" x14ac:dyDescent="0.25">
      <c r="A1687">
        <v>269</v>
      </c>
      <c r="B1687" s="1">
        <v>43949</v>
      </c>
      <c r="C1687" t="s">
        <v>319</v>
      </c>
      <c r="D1687" t="s">
        <v>25</v>
      </c>
      <c r="F1687" t="s">
        <v>61</v>
      </c>
      <c r="G1687">
        <v>1</v>
      </c>
      <c r="H1687">
        <v>60</v>
      </c>
      <c r="I1687">
        <f t="shared" si="1079"/>
        <v>60</v>
      </c>
      <c r="J1687" t="s">
        <v>165</v>
      </c>
      <c r="K1687">
        <f t="shared" ref="K1687" si="1090">380/12</f>
        <v>31.666666666666668</v>
      </c>
      <c r="M1687">
        <f t="shared" si="1088"/>
        <v>31.666666666666668</v>
      </c>
      <c r="N1687">
        <f t="shared" si="1089"/>
        <v>28.333333333333332</v>
      </c>
    </row>
    <row r="1688" spans="1:14" x14ac:dyDescent="0.25">
      <c r="A1688">
        <v>270</v>
      </c>
      <c r="B1688" s="1">
        <v>43949</v>
      </c>
      <c r="C1688" t="s">
        <v>319</v>
      </c>
      <c r="D1688" t="s">
        <v>26</v>
      </c>
      <c r="F1688" t="s">
        <v>144</v>
      </c>
      <c r="G1688">
        <f>1/2.7</f>
        <v>0.37037037037037035</v>
      </c>
      <c r="H1688">
        <v>425</v>
      </c>
      <c r="I1688">
        <f t="shared" si="1079"/>
        <v>157.40740740740739</v>
      </c>
      <c r="J1688" t="s">
        <v>99</v>
      </c>
      <c r="K1688">
        <v>360</v>
      </c>
      <c r="M1688">
        <f t="shared" si="1088"/>
        <v>133.33333333333331</v>
      </c>
      <c r="N1688">
        <f t="shared" si="1089"/>
        <v>24.074074074074076</v>
      </c>
    </row>
    <row r="1689" spans="1:14" x14ac:dyDescent="0.25">
      <c r="A1689">
        <v>271</v>
      </c>
      <c r="B1689" s="1">
        <v>43949</v>
      </c>
      <c r="C1689" t="s">
        <v>319</v>
      </c>
      <c r="D1689" t="s">
        <v>15</v>
      </c>
      <c r="F1689" t="s">
        <v>54</v>
      </c>
      <c r="G1689">
        <v>19</v>
      </c>
      <c r="H1689">
        <v>240</v>
      </c>
      <c r="I1689">
        <f t="shared" si="1079"/>
        <v>4560</v>
      </c>
      <c r="J1689" t="s">
        <v>163</v>
      </c>
      <c r="K1689">
        <v>212</v>
      </c>
      <c r="M1689">
        <f t="shared" si="1088"/>
        <v>4028</v>
      </c>
      <c r="N1689">
        <f t="shared" si="1089"/>
        <v>532</v>
      </c>
    </row>
    <row r="1690" spans="1:14" x14ac:dyDescent="0.25">
      <c r="A1690">
        <v>272</v>
      </c>
      <c r="B1690" s="1">
        <v>43949</v>
      </c>
      <c r="C1690" t="s">
        <v>319</v>
      </c>
      <c r="D1690" t="s">
        <v>15</v>
      </c>
      <c r="F1690" t="s">
        <v>45</v>
      </c>
      <c r="G1690">
        <f>1/9</f>
        <v>0.1111111111111111</v>
      </c>
      <c r="H1690">
        <v>300</v>
      </c>
      <c r="I1690">
        <f t="shared" si="1079"/>
        <v>33.333333333333329</v>
      </c>
      <c r="J1690" t="s">
        <v>163</v>
      </c>
      <c r="K1690">
        <v>280</v>
      </c>
      <c r="M1690">
        <f t="shared" si="1088"/>
        <v>31.111111111111111</v>
      </c>
      <c r="N1690">
        <f t="shared" si="1089"/>
        <v>2.2222222222222179</v>
      </c>
    </row>
    <row r="1691" spans="1:14" x14ac:dyDescent="0.25">
      <c r="A1691">
        <v>273</v>
      </c>
      <c r="B1691" s="1">
        <v>43949</v>
      </c>
      <c r="C1691" t="s">
        <v>319</v>
      </c>
      <c r="D1691" t="s">
        <v>25</v>
      </c>
      <c r="F1691" t="s">
        <v>225</v>
      </c>
      <c r="G1691">
        <v>1</v>
      </c>
      <c r="H1691">
        <v>60</v>
      </c>
      <c r="I1691">
        <f t="shared" si="1079"/>
        <v>60</v>
      </c>
      <c r="J1691" t="s">
        <v>165</v>
      </c>
      <c r="K1691">
        <f t="shared" ref="K1691:K1693" si="1091">380/12</f>
        <v>31.666666666666668</v>
      </c>
      <c r="M1691">
        <f t="shared" si="1088"/>
        <v>31.666666666666668</v>
      </c>
      <c r="N1691">
        <f t="shared" si="1089"/>
        <v>28.333333333333332</v>
      </c>
    </row>
    <row r="1692" spans="1:14" x14ac:dyDescent="0.25">
      <c r="A1692">
        <v>274</v>
      </c>
      <c r="B1692" s="1">
        <v>43949</v>
      </c>
      <c r="C1692" t="s">
        <v>319</v>
      </c>
      <c r="D1692" t="s">
        <v>25</v>
      </c>
      <c r="F1692" t="s">
        <v>225</v>
      </c>
      <c r="G1692">
        <v>1</v>
      </c>
      <c r="H1692">
        <v>60</v>
      </c>
      <c r="I1692">
        <f t="shared" si="1079"/>
        <v>60</v>
      </c>
      <c r="J1692" t="s">
        <v>165</v>
      </c>
      <c r="K1692">
        <f t="shared" si="1091"/>
        <v>31.666666666666668</v>
      </c>
      <c r="M1692">
        <f t="shared" si="1088"/>
        <v>31.666666666666668</v>
      </c>
      <c r="N1692">
        <f t="shared" si="1089"/>
        <v>28.333333333333332</v>
      </c>
    </row>
    <row r="1693" spans="1:14" x14ac:dyDescent="0.25">
      <c r="A1693">
        <v>275</v>
      </c>
      <c r="B1693" s="1">
        <v>43949</v>
      </c>
      <c r="C1693" t="s">
        <v>319</v>
      </c>
      <c r="D1693" t="s">
        <v>25</v>
      </c>
      <c r="F1693" t="s">
        <v>72</v>
      </c>
      <c r="G1693">
        <v>7</v>
      </c>
      <c r="H1693">
        <v>60</v>
      </c>
      <c r="I1693">
        <f t="shared" si="1079"/>
        <v>420</v>
      </c>
      <c r="J1693" t="s">
        <v>165</v>
      </c>
      <c r="K1693">
        <f t="shared" si="1091"/>
        <v>31.666666666666668</v>
      </c>
      <c r="M1693">
        <f t="shared" si="1088"/>
        <v>221.66666666666669</v>
      </c>
      <c r="N1693">
        <f t="shared" si="1089"/>
        <v>198.33333333333331</v>
      </c>
    </row>
    <row r="1694" spans="1:14" x14ac:dyDescent="0.25">
      <c r="A1694">
        <v>276</v>
      </c>
      <c r="B1694" s="1">
        <v>43949</v>
      </c>
      <c r="C1694" t="s">
        <v>319</v>
      </c>
      <c r="D1694" t="s">
        <v>56</v>
      </c>
      <c r="F1694" t="s">
        <v>176</v>
      </c>
      <c r="G1694">
        <v>10</v>
      </c>
      <c r="H1694">
        <v>260</v>
      </c>
      <c r="I1694">
        <f t="shared" si="1079"/>
        <v>2600</v>
      </c>
      <c r="J1694" t="s">
        <v>27</v>
      </c>
      <c r="K1694">
        <v>230</v>
      </c>
      <c r="M1694">
        <f t="shared" si="1088"/>
        <v>2300</v>
      </c>
      <c r="N1694">
        <f t="shared" si="1089"/>
        <v>300</v>
      </c>
    </row>
    <row r="1695" spans="1:14" x14ac:dyDescent="0.25">
      <c r="A1695">
        <v>277</v>
      </c>
      <c r="B1695" s="1">
        <v>43949</v>
      </c>
      <c r="C1695" t="s">
        <v>319</v>
      </c>
      <c r="D1695" t="s">
        <v>55</v>
      </c>
      <c r="F1695" t="s">
        <v>149</v>
      </c>
      <c r="G1695">
        <v>7</v>
      </c>
      <c r="H1695">
        <v>300</v>
      </c>
      <c r="I1695">
        <f t="shared" si="1079"/>
        <v>2100</v>
      </c>
      <c r="J1695" t="s">
        <v>167</v>
      </c>
      <c r="K1695">
        <v>268</v>
      </c>
      <c r="M1695">
        <f t="shared" si="1088"/>
        <v>1876</v>
      </c>
      <c r="N1695">
        <f t="shared" si="1089"/>
        <v>224</v>
      </c>
    </row>
    <row r="1696" spans="1:14" x14ac:dyDescent="0.25">
      <c r="A1696">
        <v>278</v>
      </c>
      <c r="B1696" s="1">
        <v>43949</v>
      </c>
      <c r="C1696" t="s">
        <v>319</v>
      </c>
      <c r="D1696" t="s">
        <v>15</v>
      </c>
      <c r="F1696" t="s">
        <v>29</v>
      </c>
      <c r="G1696">
        <v>6</v>
      </c>
      <c r="H1696">
        <v>230</v>
      </c>
      <c r="I1696">
        <f t="shared" si="1079"/>
        <v>1380</v>
      </c>
      <c r="J1696" t="s">
        <v>163</v>
      </c>
      <c r="K1696">
        <v>198</v>
      </c>
      <c r="M1696">
        <f t="shared" si="1088"/>
        <v>1188</v>
      </c>
      <c r="N1696">
        <f t="shared" si="1089"/>
        <v>192</v>
      </c>
    </row>
    <row r="1697" spans="1:14" x14ac:dyDescent="0.25">
      <c r="A1697">
        <v>279</v>
      </c>
      <c r="B1697" s="1">
        <v>43949</v>
      </c>
      <c r="C1697" t="s">
        <v>319</v>
      </c>
      <c r="D1697" t="s">
        <v>26</v>
      </c>
      <c r="F1697" t="s">
        <v>47</v>
      </c>
      <c r="G1697">
        <v>1.44</v>
      </c>
      <c r="H1697">
        <v>380</v>
      </c>
      <c r="I1697">
        <f t="shared" si="1079"/>
        <v>547.19999999999993</v>
      </c>
      <c r="J1697" t="s">
        <v>99</v>
      </c>
      <c r="K1697">
        <v>312</v>
      </c>
      <c r="M1697">
        <f t="shared" si="1088"/>
        <v>449.28</v>
      </c>
      <c r="N1697">
        <f t="shared" si="1089"/>
        <v>97.919999999999959</v>
      </c>
    </row>
    <row r="1698" spans="1:14" x14ac:dyDescent="0.25">
      <c r="A1698">
        <v>280</v>
      </c>
      <c r="B1698" s="1">
        <v>43949</v>
      </c>
      <c r="C1698" t="s">
        <v>319</v>
      </c>
      <c r="D1698" t="s">
        <v>55</v>
      </c>
      <c r="F1698" t="s">
        <v>149</v>
      </c>
      <c r="G1698">
        <v>7</v>
      </c>
      <c r="H1698">
        <v>300</v>
      </c>
      <c r="I1698">
        <f t="shared" si="1079"/>
        <v>2100</v>
      </c>
      <c r="J1698" t="s">
        <v>167</v>
      </c>
      <c r="K1698">
        <v>268</v>
      </c>
      <c r="M1698">
        <f t="shared" si="1088"/>
        <v>1876</v>
      </c>
      <c r="N1698">
        <f t="shared" si="1089"/>
        <v>224</v>
      </c>
    </row>
    <row r="1699" spans="1:14" x14ac:dyDescent="0.25">
      <c r="A1699">
        <v>281</v>
      </c>
      <c r="B1699" s="1">
        <v>43950</v>
      </c>
      <c r="C1699" t="s">
        <v>319</v>
      </c>
      <c r="D1699" t="s">
        <v>25</v>
      </c>
      <c r="F1699" t="s">
        <v>148</v>
      </c>
      <c r="G1699">
        <v>1</v>
      </c>
      <c r="H1699">
        <v>60</v>
      </c>
      <c r="I1699">
        <f t="shared" si="1079"/>
        <v>60</v>
      </c>
      <c r="J1699" t="s">
        <v>165</v>
      </c>
      <c r="K1699">
        <f t="shared" ref="K1699" si="1092">380/12</f>
        <v>31.666666666666668</v>
      </c>
      <c r="M1699">
        <f t="shared" ref="M1699:M1713" si="1093">+IF(K1699=0,(""),(K1699*G1699))</f>
        <v>31.666666666666668</v>
      </c>
      <c r="N1699">
        <f t="shared" ref="N1699:N1713" si="1094">+IF(K1699=0,(""),(I1699-M1699))</f>
        <v>28.333333333333332</v>
      </c>
    </row>
    <row r="1700" spans="1:14" x14ac:dyDescent="0.25">
      <c r="A1700">
        <v>282</v>
      </c>
      <c r="B1700" s="1">
        <v>43950</v>
      </c>
      <c r="C1700" t="s">
        <v>319</v>
      </c>
      <c r="D1700" t="s">
        <v>15</v>
      </c>
      <c r="F1700" t="s">
        <v>31</v>
      </c>
      <c r="G1700">
        <v>2</v>
      </c>
      <c r="H1700">
        <v>280</v>
      </c>
      <c r="I1700">
        <f t="shared" si="1079"/>
        <v>560</v>
      </c>
      <c r="J1700" t="s">
        <v>163</v>
      </c>
      <c r="K1700">
        <v>245</v>
      </c>
      <c r="M1700">
        <f t="shared" si="1093"/>
        <v>490</v>
      </c>
      <c r="N1700">
        <f t="shared" si="1094"/>
        <v>70</v>
      </c>
    </row>
    <row r="1701" spans="1:14" x14ac:dyDescent="0.25">
      <c r="A1701">
        <v>283</v>
      </c>
      <c r="B1701" s="1">
        <v>43950</v>
      </c>
      <c r="C1701" t="s">
        <v>319</v>
      </c>
      <c r="D1701" t="s">
        <v>15</v>
      </c>
      <c r="F1701" t="s">
        <v>29</v>
      </c>
      <c r="G1701">
        <v>34</v>
      </c>
      <c r="H1701">
        <v>230</v>
      </c>
      <c r="I1701">
        <f t="shared" si="1079"/>
        <v>7820</v>
      </c>
      <c r="J1701" t="s">
        <v>163</v>
      </c>
      <c r="K1701">
        <v>198</v>
      </c>
      <c r="M1701">
        <f t="shared" si="1093"/>
        <v>6732</v>
      </c>
      <c r="N1701">
        <f t="shared" si="1094"/>
        <v>1088</v>
      </c>
    </row>
    <row r="1702" spans="1:14" x14ac:dyDescent="0.25">
      <c r="A1702">
        <v>284</v>
      </c>
      <c r="B1702" s="1">
        <v>43950</v>
      </c>
      <c r="C1702" t="s">
        <v>319</v>
      </c>
      <c r="D1702" t="s">
        <v>56</v>
      </c>
      <c r="F1702" t="s">
        <v>267</v>
      </c>
      <c r="G1702">
        <v>8</v>
      </c>
      <c r="H1702">
        <v>160</v>
      </c>
      <c r="I1702">
        <f t="shared" si="1079"/>
        <v>1280</v>
      </c>
      <c r="J1702" t="s">
        <v>163</v>
      </c>
      <c r="K1702">
        <v>123</v>
      </c>
      <c r="M1702">
        <f t="shared" si="1093"/>
        <v>984</v>
      </c>
      <c r="N1702">
        <f t="shared" si="1094"/>
        <v>296</v>
      </c>
    </row>
    <row r="1703" spans="1:14" x14ac:dyDescent="0.25">
      <c r="A1703">
        <v>285</v>
      </c>
      <c r="B1703" s="1">
        <v>43950</v>
      </c>
      <c r="C1703" t="s">
        <v>319</v>
      </c>
      <c r="D1703" t="s">
        <v>25</v>
      </c>
      <c r="F1703" t="s">
        <v>25</v>
      </c>
      <c r="G1703">
        <v>4</v>
      </c>
      <c r="H1703">
        <v>60</v>
      </c>
      <c r="I1703">
        <f t="shared" si="1079"/>
        <v>240</v>
      </c>
      <c r="J1703" t="s">
        <v>165</v>
      </c>
      <c r="K1703">
        <f t="shared" ref="K1703" si="1095">380/12</f>
        <v>31.666666666666668</v>
      </c>
      <c r="M1703">
        <f t="shared" si="1093"/>
        <v>126.66666666666667</v>
      </c>
      <c r="N1703">
        <f t="shared" si="1094"/>
        <v>113.33333333333333</v>
      </c>
    </row>
    <row r="1704" spans="1:14" x14ac:dyDescent="0.25">
      <c r="A1704">
        <v>286</v>
      </c>
      <c r="B1704" s="1">
        <v>43950</v>
      </c>
      <c r="C1704" t="s">
        <v>319</v>
      </c>
      <c r="D1704" t="s">
        <v>44</v>
      </c>
      <c r="F1704" t="s">
        <v>226</v>
      </c>
      <c r="G1704">
        <v>1</v>
      </c>
      <c r="H1704">
        <v>35</v>
      </c>
      <c r="I1704">
        <f t="shared" si="1079"/>
        <v>35</v>
      </c>
      <c r="J1704" t="s">
        <v>166</v>
      </c>
      <c r="K1704">
        <v>26</v>
      </c>
      <c r="M1704">
        <f t="shared" si="1093"/>
        <v>26</v>
      </c>
      <c r="N1704">
        <f t="shared" si="1094"/>
        <v>9</v>
      </c>
    </row>
    <row r="1705" spans="1:14" x14ac:dyDescent="0.25">
      <c r="A1705">
        <v>287</v>
      </c>
      <c r="B1705" s="1">
        <v>43950</v>
      </c>
      <c r="C1705" t="s">
        <v>319</v>
      </c>
      <c r="D1705" t="s">
        <v>15</v>
      </c>
      <c r="F1705" t="s">
        <v>29</v>
      </c>
      <c r="G1705">
        <f>4/9</f>
        <v>0.44444444444444442</v>
      </c>
      <c r="H1705">
        <v>230</v>
      </c>
      <c r="I1705">
        <f t="shared" si="1079"/>
        <v>102.22222222222221</v>
      </c>
      <c r="J1705" t="s">
        <v>163</v>
      </c>
      <c r="K1705">
        <v>198</v>
      </c>
      <c r="M1705">
        <f t="shared" si="1093"/>
        <v>88</v>
      </c>
      <c r="N1705">
        <f t="shared" si="1094"/>
        <v>14.222222222222214</v>
      </c>
    </row>
    <row r="1706" spans="1:14" x14ac:dyDescent="0.25">
      <c r="A1706">
        <v>288</v>
      </c>
      <c r="B1706" s="1">
        <v>43950</v>
      </c>
      <c r="C1706" t="s">
        <v>319</v>
      </c>
      <c r="D1706" t="s">
        <v>15</v>
      </c>
      <c r="F1706" t="s">
        <v>29</v>
      </c>
      <c r="G1706">
        <v>9</v>
      </c>
      <c r="H1706">
        <v>230</v>
      </c>
      <c r="I1706">
        <f t="shared" si="1079"/>
        <v>2070</v>
      </c>
      <c r="J1706" t="s">
        <v>163</v>
      </c>
      <c r="K1706">
        <v>198</v>
      </c>
      <c r="M1706">
        <f t="shared" si="1093"/>
        <v>1782</v>
      </c>
      <c r="N1706">
        <f t="shared" si="1094"/>
        <v>288</v>
      </c>
    </row>
    <row r="1707" spans="1:14" x14ac:dyDescent="0.25">
      <c r="A1707">
        <v>289</v>
      </c>
      <c r="B1707" s="1">
        <v>43950</v>
      </c>
      <c r="C1707" t="s">
        <v>319</v>
      </c>
      <c r="D1707" t="s">
        <v>15</v>
      </c>
      <c r="F1707" t="s">
        <v>204</v>
      </c>
      <c r="G1707">
        <f>1/9</f>
        <v>0.1111111111111111</v>
      </c>
      <c r="H1707">
        <v>300</v>
      </c>
      <c r="I1707">
        <f t="shared" si="1079"/>
        <v>33.333333333333329</v>
      </c>
      <c r="J1707" t="s">
        <v>167</v>
      </c>
      <c r="K1707">
        <v>268</v>
      </c>
      <c r="M1707">
        <f t="shared" si="1093"/>
        <v>29.777777777777775</v>
      </c>
      <c r="N1707">
        <f t="shared" si="1094"/>
        <v>3.5555555555555536</v>
      </c>
    </row>
    <row r="1708" spans="1:14" x14ac:dyDescent="0.25">
      <c r="A1708">
        <v>290</v>
      </c>
      <c r="B1708" s="1">
        <v>43951</v>
      </c>
      <c r="C1708" t="s">
        <v>319</v>
      </c>
      <c r="D1708" t="s">
        <v>15</v>
      </c>
      <c r="F1708" t="s">
        <v>45</v>
      </c>
      <c r="G1708">
        <f>3/9</f>
        <v>0.33333333333333331</v>
      </c>
      <c r="H1708">
        <v>300</v>
      </c>
      <c r="I1708">
        <f t="shared" si="1079"/>
        <v>100</v>
      </c>
      <c r="J1708" t="s">
        <v>163</v>
      </c>
      <c r="K1708">
        <v>280</v>
      </c>
      <c r="M1708">
        <f t="shared" si="1093"/>
        <v>93.333333333333329</v>
      </c>
      <c r="N1708">
        <f t="shared" si="1094"/>
        <v>6.6666666666666714</v>
      </c>
    </row>
    <row r="1709" spans="1:14" x14ac:dyDescent="0.25">
      <c r="A1709">
        <v>291</v>
      </c>
      <c r="B1709" s="1">
        <v>43951</v>
      </c>
      <c r="C1709" t="s">
        <v>319</v>
      </c>
      <c r="D1709" t="s">
        <v>26</v>
      </c>
      <c r="F1709" t="s">
        <v>47</v>
      </c>
      <c r="G1709">
        <v>1.44</v>
      </c>
      <c r="H1709">
        <v>380</v>
      </c>
      <c r="I1709">
        <f t="shared" si="1079"/>
        <v>547.19999999999993</v>
      </c>
      <c r="J1709" t="s">
        <v>99</v>
      </c>
      <c r="K1709">
        <v>312</v>
      </c>
      <c r="M1709">
        <f t="shared" si="1093"/>
        <v>449.28</v>
      </c>
      <c r="N1709">
        <f t="shared" si="1094"/>
        <v>97.919999999999959</v>
      </c>
    </row>
    <row r="1710" spans="1:14" x14ac:dyDescent="0.25">
      <c r="A1710">
        <v>292</v>
      </c>
      <c r="B1710" s="1">
        <v>43951</v>
      </c>
      <c r="C1710" t="s">
        <v>319</v>
      </c>
      <c r="D1710" t="s">
        <v>25</v>
      </c>
      <c r="F1710" t="s">
        <v>337</v>
      </c>
      <c r="G1710">
        <v>1</v>
      </c>
      <c r="H1710">
        <v>60</v>
      </c>
      <c r="I1710">
        <f t="shared" si="1079"/>
        <v>60</v>
      </c>
      <c r="J1710" t="s">
        <v>165</v>
      </c>
      <c r="K1710">
        <f t="shared" ref="K1710" si="1096">380/12</f>
        <v>31.666666666666668</v>
      </c>
      <c r="M1710">
        <f t="shared" si="1093"/>
        <v>31.666666666666668</v>
      </c>
      <c r="N1710">
        <f t="shared" si="1094"/>
        <v>28.333333333333332</v>
      </c>
    </row>
    <row r="1711" spans="1:14" x14ac:dyDescent="0.25">
      <c r="A1711">
        <v>293</v>
      </c>
      <c r="B1711" s="1">
        <v>43951</v>
      </c>
      <c r="C1711" t="s">
        <v>319</v>
      </c>
      <c r="D1711" t="s">
        <v>70</v>
      </c>
      <c r="F1711" t="s">
        <v>227</v>
      </c>
      <c r="G1711">
        <v>1</v>
      </c>
      <c r="H1711">
        <v>1650</v>
      </c>
      <c r="I1711">
        <f t="shared" si="1079"/>
        <v>1650</v>
      </c>
      <c r="J1711" t="s">
        <v>167</v>
      </c>
      <c r="K1711">
        <v>1440</v>
      </c>
      <c r="M1711">
        <f t="shared" si="1093"/>
        <v>1440</v>
      </c>
      <c r="N1711">
        <f t="shared" si="1094"/>
        <v>210</v>
      </c>
    </row>
    <row r="1712" spans="1:14" x14ac:dyDescent="0.25">
      <c r="A1712">
        <v>294</v>
      </c>
      <c r="B1712" s="1">
        <v>43951</v>
      </c>
      <c r="C1712" t="s">
        <v>319</v>
      </c>
      <c r="D1712" t="s">
        <v>70</v>
      </c>
      <c r="F1712" t="s">
        <v>152</v>
      </c>
      <c r="G1712">
        <v>1</v>
      </c>
      <c r="H1712">
        <v>85</v>
      </c>
      <c r="I1712">
        <f t="shared" si="1079"/>
        <v>85</v>
      </c>
      <c r="J1712" t="s">
        <v>163</v>
      </c>
      <c r="K1712">
        <v>70</v>
      </c>
      <c r="M1712">
        <f t="shared" si="1093"/>
        <v>70</v>
      </c>
      <c r="N1712">
        <f t="shared" si="1094"/>
        <v>15</v>
      </c>
    </row>
    <row r="1713" spans="1:14" x14ac:dyDescent="0.25">
      <c r="A1713">
        <v>295</v>
      </c>
      <c r="B1713" s="1">
        <v>43951</v>
      </c>
      <c r="C1713" t="s">
        <v>319</v>
      </c>
      <c r="D1713" t="s">
        <v>70</v>
      </c>
      <c r="F1713" t="s">
        <v>338</v>
      </c>
      <c r="G1713">
        <v>1</v>
      </c>
      <c r="H1713">
        <v>80</v>
      </c>
      <c r="I1713">
        <f t="shared" si="1079"/>
        <v>80</v>
      </c>
      <c r="J1713" t="s">
        <v>163</v>
      </c>
      <c r="M1713" t="str">
        <f t="shared" si="1093"/>
        <v/>
      </c>
      <c r="N1713" t="str">
        <f t="shared" si="1094"/>
        <v/>
      </c>
    </row>
    <row r="1714" spans="1:14" x14ac:dyDescent="0.25">
      <c r="A1714">
        <v>296</v>
      </c>
      <c r="B1714" s="1">
        <v>43951</v>
      </c>
      <c r="C1714" t="s">
        <v>319</v>
      </c>
      <c r="D1714" t="s">
        <v>15</v>
      </c>
      <c r="F1714" t="s">
        <v>292</v>
      </c>
      <c r="G1714">
        <v>4</v>
      </c>
      <c r="H1714">
        <v>230</v>
      </c>
      <c r="I1714">
        <f t="shared" si="1079"/>
        <v>920</v>
      </c>
      <c r="J1714" t="s">
        <v>163</v>
      </c>
      <c r="K1714">
        <v>177</v>
      </c>
      <c r="M1714">
        <f t="shared" ref="M1714:M1730" si="1097">+IF(K1714=0,(""),(K1714*G1714))</f>
        <v>708</v>
      </c>
      <c r="N1714">
        <f t="shared" ref="N1714:N1730" si="1098">+IF(K1714=0,(""),(I1714-M1714))</f>
        <v>212</v>
      </c>
    </row>
    <row r="1715" spans="1:14" x14ac:dyDescent="0.25">
      <c r="A1715">
        <v>297</v>
      </c>
      <c r="B1715" s="1">
        <v>43951</v>
      </c>
      <c r="C1715" t="s">
        <v>319</v>
      </c>
      <c r="D1715" t="s">
        <v>78</v>
      </c>
      <c r="F1715" t="s">
        <v>79</v>
      </c>
      <c r="G1715">
        <v>1</v>
      </c>
      <c r="H1715">
        <v>1550</v>
      </c>
      <c r="I1715">
        <f t="shared" si="1079"/>
        <v>1550</v>
      </c>
      <c r="J1715" t="s">
        <v>167</v>
      </c>
      <c r="K1715">
        <v>1330</v>
      </c>
      <c r="M1715">
        <f t="shared" si="1097"/>
        <v>1330</v>
      </c>
      <c r="N1715">
        <f t="shared" si="1098"/>
        <v>220</v>
      </c>
    </row>
    <row r="1716" spans="1:14" x14ac:dyDescent="0.25">
      <c r="A1716">
        <v>1</v>
      </c>
      <c r="B1716" s="1">
        <v>43953</v>
      </c>
      <c r="C1716" t="s">
        <v>336</v>
      </c>
      <c r="D1716" t="s">
        <v>15</v>
      </c>
      <c r="F1716" t="s">
        <v>31</v>
      </c>
      <c r="G1716">
        <v>3</v>
      </c>
      <c r="H1716">
        <v>280</v>
      </c>
      <c r="I1716">
        <f t="shared" si="1079"/>
        <v>840</v>
      </c>
      <c r="J1716" t="s">
        <v>163</v>
      </c>
      <c r="K1716">
        <v>245</v>
      </c>
      <c r="M1716">
        <f t="shared" si="1097"/>
        <v>735</v>
      </c>
      <c r="N1716">
        <f t="shared" si="1098"/>
        <v>105</v>
      </c>
    </row>
    <row r="1717" spans="1:14" x14ac:dyDescent="0.25">
      <c r="A1717">
        <v>2</v>
      </c>
      <c r="B1717" s="1">
        <v>43953</v>
      </c>
      <c r="C1717" t="s">
        <v>336</v>
      </c>
      <c r="D1717" t="s">
        <v>23</v>
      </c>
      <c r="F1717" t="s">
        <v>43</v>
      </c>
      <c r="G1717">
        <v>1</v>
      </c>
      <c r="H1717">
        <v>60</v>
      </c>
      <c r="I1717">
        <f t="shared" si="1079"/>
        <v>60</v>
      </c>
      <c r="J1717" t="s">
        <v>187</v>
      </c>
      <c r="K1717">
        <v>42</v>
      </c>
      <c r="M1717">
        <f t="shared" si="1097"/>
        <v>42</v>
      </c>
      <c r="N1717">
        <f t="shared" si="1098"/>
        <v>18</v>
      </c>
    </row>
    <row r="1718" spans="1:14" x14ac:dyDescent="0.25">
      <c r="A1718">
        <v>3</v>
      </c>
      <c r="B1718" s="1">
        <v>43953</v>
      </c>
      <c r="C1718" t="s">
        <v>336</v>
      </c>
      <c r="D1718" t="s">
        <v>15</v>
      </c>
      <c r="F1718" t="s">
        <v>296</v>
      </c>
      <c r="G1718">
        <f>21/8</f>
        <v>2.625</v>
      </c>
      <c r="H1718">
        <v>230</v>
      </c>
      <c r="I1718">
        <f t="shared" si="1079"/>
        <v>603.75</v>
      </c>
      <c r="J1718" t="s">
        <v>163</v>
      </c>
      <c r="K1718">
        <v>177</v>
      </c>
      <c r="M1718">
        <f t="shared" si="1097"/>
        <v>464.625</v>
      </c>
      <c r="N1718">
        <f t="shared" si="1098"/>
        <v>139.125</v>
      </c>
    </row>
    <row r="1719" spans="1:14" x14ac:dyDescent="0.25">
      <c r="A1719">
        <v>4</v>
      </c>
      <c r="B1719" s="1">
        <v>43953</v>
      </c>
      <c r="C1719" t="s">
        <v>336</v>
      </c>
      <c r="D1719" t="s">
        <v>25</v>
      </c>
      <c r="F1719" t="s">
        <v>58</v>
      </c>
      <c r="G1719">
        <v>7</v>
      </c>
      <c r="H1719">
        <v>60</v>
      </c>
      <c r="I1719">
        <f t="shared" si="1079"/>
        <v>420</v>
      </c>
      <c r="J1719" t="s">
        <v>165</v>
      </c>
      <c r="K1719">
        <f t="shared" ref="K1719" si="1099">380/12</f>
        <v>31.666666666666668</v>
      </c>
      <c r="M1719">
        <f t="shared" si="1097"/>
        <v>221.66666666666669</v>
      </c>
      <c r="N1719">
        <f t="shared" si="1098"/>
        <v>198.33333333333331</v>
      </c>
    </row>
    <row r="1720" spans="1:14" x14ac:dyDescent="0.25">
      <c r="A1720">
        <v>5</v>
      </c>
      <c r="B1720" s="1">
        <v>43953</v>
      </c>
      <c r="C1720" t="s">
        <v>336</v>
      </c>
      <c r="D1720" t="s">
        <v>56</v>
      </c>
      <c r="F1720" t="s">
        <v>267</v>
      </c>
      <c r="G1720">
        <v>18</v>
      </c>
      <c r="H1720">
        <v>170</v>
      </c>
      <c r="I1720">
        <f t="shared" si="1079"/>
        <v>3060</v>
      </c>
      <c r="J1720" t="s">
        <v>163</v>
      </c>
      <c r="K1720">
        <v>123</v>
      </c>
      <c r="M1720">
        <f t="shared" si="1097"/>
        <v>2214</v>
      </c>
      <c r="N1720">
        <f t="shared" si="1098"/>
        <v>846</v>
      </c>
    </row>
    <row r="1721" spans="1:14" x14ac:dyDescent="0.25">
      <c r="A1721">
        <v>6</v>
      </c>
      <c r="B1721" s="1">
        <v>43953</v>
      </c>
      <c r="C1721" t="s">
        <v>336</v>
      </c>
      <c r="D1721" t="s">
        <v>25</v>
      </c>
      <c r="F1721" t="s">
        <v>127</v>
      </c>
      <c r="G1721">
        <v>10</v>
      </c>
      <c r="H1721">
        <v>60</v>
      </c>
      <c r="I1721">
        <f t="shared" si="1079"/>
        <v>600</v>
      </c>
      <c r="J1721" t="s">
        <v>165</v>
      </c>
      <c r="K1721">
        <f t="shared" ref="K1721" si="1100">380/12</f>
        <v>31.666666666666668</v>
      </c>
      <c r="M1721">
        <f t="shared" si="1097"/>
        <v>316.66666666666669</v>
      </c>
      <c r="N1721">
        <f t="shared" si="1098"/>
        <v>283.33333333333331</v>
      </c>
    </row>
    <row r="1722" spans="1:14" x14ac:dyDescent="0.25">
      <c r="A1722">
        <v>7</v>
      </c>
      <c r="B1722" s="1">
        <v>43953</v>
      </c>
      <c r="C1722" t="s">
        <v>336</v>
      </c>
      <c r="D1722" t="s">
        <v>23</v>
      </c>
      <c r="F1722" t="s">
        <v>43</v>
      </c>
      <c r="G1722">
        <v>6</v>
      </c>
      <c r="H1722">
        <v>60</v>
      </c>
      <c r="I1722">
        <f t="shared" si="1079"/>
        <v>360</v>
      </c>
      <c r="J1722" t="s">
        <v>187</v>
      </c>
      <c r="K1722">
        <v>42</v>
      </c>
      <c r="M1722">
        <f t="shared" si="1097"/>
        <v>252</v>
      </c>
      <c r="N1722">
        <f t="shared" si="1098"/>
        <v>108</v>
      </c>
    </row>
    <row r="1723" spans="1:14" x14ac:dyDescent="0.25">
      <c r="A1723">
        <v>8</v>
      </c>
      <c r="B1723" s="1">
        <v>43953</v>
      </c>
      <c r="C1723" t="s">
        <v>336</v>
      </c>
      <c r="D1723" t="s">
        <v>24</v>
      </c>
      <c r="F1723" t="s">
        <v>24</v>
      </c>
      <c r="G1723">
        <v>6.4</v>
      </c>
      <c r="H1723">
        <v>100</v>
      </c>
      <c r="I1723">
        <f t="shared" si="1079"/>
        <v>640</v>
      </c>
      <c r="J1723" t="s">
        <v>186</v>
      </c>
      <c r="K1723">
        <v>68.22</v>
      </c>
      <c r="M1723">
        <f t="shared" si="1097"/>
        <v>436.608</v>
      </c>
      <c r="N1723">
        <f t="shared" si="1098"/>
        <v>203.392</v>
      </c>
    </row>
    <row r="1724" spans="1:14" x14ac:dyDescent="0.25">
      <c r="A1724">
        <v>9</v>
      </c>
      <c r="B1724" s="1">
        <v>43953</v>
      </c>
      <c r="C1724" t="s">
        <v>336</v>
      </c>
      <c r="D1724" t="s">
        <v>70</v>
      </c>
      <c r="F1724" t="s">
        <v>227</v>
      </c>
      <c r="G1724">
        <v>1</v>
      </c>
      <c r="H1724">
        <v>1650</v>
      </c>
      <c r="I1724">
        <f t="shared" si="1079"/>
        <v>1650</v>
      </c>
      <c r="J1724" t="s">
        <v>167</v>
      </c>
      <c r="K1724">
        <v>1440</v>
      </c>
      <c r="M1724">
        <f t="shared" si="1097"/>
        <v>1440</v>
      </c>
      <c r="N1724">
        <f t="shared" si="1098"/>
        <v>210</v>
      </c>
    </row>
    <row r="1725" spans="1:14" x14ac:dyDescent="0.25">
      <c r="A1725">
        <v>10</v>
      </c>
      <c r="B1725" s="1">
        <v>43953</v>
      </c>
      <c r="C1725" t="s">
        <v>336</v>
      </c>
      <c r="D1725" t="s">
        <v>70</v>
      </c>
      <c r="F1725" t="s">
        <v>152</v>
      </c>
      <c r="G1725">
        <v>1</v>
      </c>
      <c r="H1725">
        <v>85</v>
      </c>
      <c r="I1725">
        <f t="shared" si="1079"/>
        <v>85</v>
      </c>
      <c r="J1725" t="s">
        <v>163</v>
      </c>
      <c r="K1725">
        <v>70</v>
      </c>
      <c r="M1725">
        <f t="shared" si="1097"/>
        <v>70</v>
      </c>
      <c r="N1725">
        <f t="shared" si="1098"/>
        <v>15</v>
      </c>
    </row>
    <row r="1726" spans="1:14" x14ac:dyDescent="0.25">
      <c r="A1726">
        <v>11</v>
      </c>
      <c r="B1726" s="1">
        <v>43953</v>
      </c>
      <c r="C1726" t="s">
        <v>336</v>
      </c>
      <c r="D1726" t="s">
        <v>70</v>
      </c>
      <c r="F1726" t="s">
        <v>339</v>
      </c>
      <c r="G1726">
        <v>1</v>
      </c>
      <c r="H1726">
        <v>80</v>
      </c>
      <c r="I1726">
        <f t="shared" si="1079"/>
        <v>80</v>
      </c>
      <c r="J1726" t="s">
        <v>163</v>
      </c>
      <c r="M1726" t="str">
        <f t="shared" si="1097"/>
        <v/>
      </c>
      <c r="N1726" t="str">
        <f t="shared" si="1098"/>
        <v/>
      </c>
    </row>
    <row r="1727" spans="1:14" x14ac:dyDescent="0.25">
      <c r="A1727">
        <v>12</v>
      </c>
      <c r="B1727" s="1">
        <v>43953</v>
      </c>
      <c r="C1727" t="s">
        <v>336</v>
      </c>
      <c r="D1727" t="s">
        <v>15</v>
      </c>
      <c r="F1727" t="s">
        <v>54</v>
      </c>
      <c r="G1727">
        <v>12</v>
      </c>
      <c r="H1727">
        <v>240</v>
      </c>
      <c r="I1727">
        <f t="shared" si="1079"/>
        <v>2880</v>
      </c>
      <c r="J1727" t="s">
        <v>163</v>
      </c>
      <c r="K1727">
        <v>212</v>
      </c>
      <c r="M1727">
        <f t="shared" si="1097"/>
        <v>2544</v>
      </c>
      <c r="N1727">
        <f t="shared" si="1098"/>
        <v>336</v>
      </c>
    </row>
    <row r="1728" spans="1:14" x14ac:dyDescent="0.25">
      <c r="A1728">
        <v>13</v>
      </c>
      <c r="B1728" s="1">
        <v>43953</v>
      </c>
      <c r="C1728" t="s">
        <v>336</v>
      </c>
      <c r="D1728" t="s">
        <v>56</v>
      </c>
      <c r="F1728" t="s">
        <v>267</v>
      </c>
      <c r="G1728">
        <v>3</v>
      </c>
      <c r="H1728">
        <v>170</v>
      </c>
      <c r="I1728">
        <f t="shared" si="1079"/>
        <v>510</v>
      </c>
      <c r="J1728" t="s">
        <v>163</v>
      </c>
      <c r="K1728">
        <v>123</v>
      </c>
      <c r="M1728">
        <f t="shared" si="1097"/>
        <v>369</v>
      </c>
      <c r="N1728">
        <f t="shared" si="1098"/>
        <v>141</v>
      </c>
    </row>
    <row r="1729" spans="1:14" x14ac:dyDescent="0.25">
      <c r="A1729">
        <v>14</v>
      </c>
      <c r="B1729" s="1">
        <v>43953</v>
      </c>
      <c r="C1729" t="s">
        <v>336</v>
      </c>
      <c r="D1729" t="s">
        <v>25</v>
      </c>
      <c r="F1729" t="s">
        <v>224</v>
      </c>
      <c r="G1729">
        <v>1</v>
      </c>
      <c r="H1729">
        <v>100</v>
      </c>
      <c r="I1729">
        <f t="shared" si="1079"/>
        <v>100</v>
      </c>
      <c r="J1729" t="s">
        <v>163</v>
      </c>
      <c r="K1729">
        <v>69</v>
      </c>
      <c r="M1729">
        <f t="shared" si="1097"/>
        <v>69</v>
      </c>
      <c r="N1729">
        <f t="shared" si="1098"/>
        <v>31</v>
      </c>
    </row>
    <row r="1730" spans="1:14" x14ac:dyDescent="0.25">
      <c r="A1730">
        <v>15</v>
      </c>
      <c r="B1730" s="1">
        <v>43953</v>
      </c>
      <c r="C1730" t="s">
        <v>336</v>
      </c>
      <c r="D1730" t="s">
        <v>56</v>
      </c>
      <c r="F1730" t="s">
        <v>333</v>
      </c>
      <c r="G1730">
        <v>6</v>
      </c>
      <c r="H1730">
        <v>110</v>
      </c>
      <c r="I1730">
        <f t="shared" si="1079"/>
        <v>660</v>
      </c>
      <c r="J1730" t="s">
        <v>164</v>
      </c>
      <c r="K1730">
        <v>70</v>
      </c>
      <c r="M1730">
        <f t="shared" si="1097"/>
        <v>420</v>
      </c>
      <c r="N1730">
        <f t="shared" si="1098"/>
        <v>240</v>
      </c>
    </row>
    <row r="1731" spans="1:14" x14ac:dyDescent="0.25">
      <c r="A1731">
        <v>16</v>
      </c>
      <c r="B1731" s="1">
        <v>43953</v>
      </c>
      <c r="C1731" t="s">
        <v>336</v>
      </c>
      <c r="D1731" t="s">
        <v>25</v>
      </c>
      <c r="F1731" t="s">
        <v>127</v>
      </c>
      <c r="G1731">
        <v>4</v>
      </c>
      <c r="H1731">
        <v>60</v>
      </c>
      <c r="I1731">
        <f t="shared" si="1079"/>
        <v>240</v>
      </c>
      <c r="J1731" t="s">
        <v>165</v>
      </c>
      <c r="K1731">
        <f t="shared" ref="K1731" si="1101">380/12</f>
        <v>31.666666666666668</v>
      </c>
      <c r="M1731">
        <f t="shared" ref="M1731:M1746" si="1102">+IF(K1731=0,(""),(K1731*G1731))</f>
        <v>126.66666666666667</v>
      </c>
      <c r="N1731">
        <f t="shared" ref="N1731:N1746" si="1103">+IF(K1731=0,(""),(I1731-M1731))</f>
        <v>113.33333333333333</v>
      </c>
    </row>
    <row r="1732" spans="1:14" x14ac:dyDescent="0.25">
      <c r="A1732">
        <v>17</v>
      </c>
      <c r="B1732" s="1">
        <v>43953</v>
      </c>
      <c r="C1732" t="s">
        <v>336</v>
      </c>
      <c r="D1732" t="s">
        <v>23</v>
      </c>
      <c r="F1732" t="s">
        <v>206</v>
      </c>
      <c r="G1732">
        <v>2</v>
      </c>
      <c r="H1732">
        <v>50</v>
      </c>
      <c r="I1732">
        <f t="shared" ref="I1732:I1795" si="1104">+G1732*H1732</f>
        <v>100</v>
      </c>
      <c r="J1732" t="s">
        <v>23</v>
      </c>
      <c r="M1732" t="str">
        <f t="shared" si="1102"/>
        <v/>
      </c>
      <c r="N1732" t="str">
        <f t="shared" si="1103"/>
        <v/>
      </c>
    </row>
    <row r="1733" spans="1:14" x14ac:dyDescent="0.25">
      <c r="A1733">
        <v>18</v>
      </c>
      <c r="B1733" s="1">
        <v>43953</v>
      </c>
      <c r="C1733" t="s">
        <v>336</v>
      </c>
      <c r="D1733" t="s">
        <v>15</v>
      </c>
      <c r="F1733" t="s">
        <v>29</v>
      </c>
      <c r="G1733">
        <v>1.53</v>
      </c>
      <c r="H1733">
        <v>230</v>
      </c>
      <c r="I1733">
        <f t="shared" si="1104"/>
        <v>351.90000000000003</v>
      </c>
      <c r="J1733" t="s">
        <v>163</v>
      </c>
      <c r="K1733">
        <v>198</v>
      </c>
      <c r="M1733">
        <f t="shared" si="1102"/>
        <v>302.94</v>
      </c>
      <c r="N1733">
        <f t="shared" si="1103"/>
        <v>48.960000000000036</v>
      </c>
    </row>
    <row r="1734" spans="1:14" x14ac:dyDescent="0.25">
      <c r="A1734">
        <v>19</v>
      </c>
      <c r="B1734" s="1">
        <v>43953</v>
      </c>
      <c r="C1734" t="s">
        <v>336</v>
      </c>
      <c r="D1734" t="s">
        <v>24</v>
      </c>
      <c r="F1734" t="s">
        <v>24</v>
      </c>
      <c r="G1734">
        <v>1</v>
      </c>
      <c r="H1734">
        <v>100</v>
      </c>
      <c r="I1734">
        <f t="shared" si="1104"/>
        <v>100</v>
      </c>
      <c r="J1734" t="s">
        <v>186</v>
      </c>
      <c r="K1734">
        <v>68.22</v>
      </c>
      <c r="M1734">
        <f t="shared" si="1102"/>
        <v>68.22</v>
      </c>
      <c r="N1734">
        <f t="shared" si="1103"/>
        <v>31.78</v>
      </c>
    </row>
    <row r="1735" spans="1:14" x14ac:dyDescent="0.25">
      <c r="A1735">
        <v>20</v>
      </c>
      <c r="B1735" s="1">
        <v>43953</v>
      </c>
      <c r="C1735" t="s">
        <v>336</v>
      </c>
      <c r="D1735" t="s">
        <v>25</v>
      </c>
      <c r="F1735" t="s">
        <v>173</v>
      </c>
      <c r="G1735">
        <v>1</v>
      </c>
      <c r="H1735">
        <v>100</v>
      </c>
      <c r="I1735">
        <f t="shared" si="1104"/>
        <v>100</v>
      </c>
      <c r="J1735" t="s">
        <v>163</v>
      </c>
      <c r="K1735">
        <v>69</v>
      </c>
      <c r="M1735">
        <f t="shared" si="1102"/>
        <v>69</v>
      </c>
      <c r="N1735">
        <f t="shared" si="1103"/>
        <v>31</v>
      </c>
    </row>
    <row r="1736" spans="1:14" x14ac:dyDescent="0.25">
      <c r="A1736">
        <v>21</v>
      </c>
      <c r="B1736" s="1">
        <v>43955</v>
      </c>
      <c r="C1736" t="s">
        <v>336</v>
      </c>
      <c r="D1736" t="s">
        <v>25</v>
      </c>
      <c r="F1736" t="s">
        <v>130</v>
      </c>
      <c r="G1736">
        <v>1</v>
      </c>
      <c r="H1736">
        <v>60</v>
      </c>
      <c r="I1736">
        <f t="shared" si="1104"/>
        <v>60</v>
      </c>
      <c r="J1736" t="s">
        <v>165</v>
      </c>
      <c r="K1736">
        <f t="shared" ref="K1736" si="1105">380/12</f>
        <v>31.666666666666668</v>
      </c>
      <c r="M1736">
        <f t="shared" si="1102"/>
        <v>31.666666666666668</v>
      </c>
      <c r="N1736">
        <f t="shared" si="1103"/>
        <v>28.333333333333332</v>
      </c>
    </row>
    <row r="1737" spans="1:14" x14ac:dyDescent="0.25">
      <c r="A1737">
        <v>22</v>
      </c>
      <c r="B1737" s="1">
        <v>43955</v>
      </c>
      <c r="C1737" t="s">
        <v>336</v>
      </c>
      <c r="D1737" t="s">
        <v>23</v>
      </c>
      <c r="F1737" t="s">
        <v>43</v>
      </c>
      <c r="G1737">
        <v>2</v>
      </c>
      <c r="H1737">
        <v>60</v>
      </c>
      <c r="I1737">
        <f t="shared" si="1104"/>
        <v>120</v>
      </c>
      <c r="J1737" t="s">
        <v>187</v>
      </c>
      <c r="K1737">
        <v>42</v>
      </c>
      <c r="M1737">
        <f t="shared" si="1102"/>
        <v>84</v>
      </c>
      <c r="N1737">
        <f t="shared" si="1103"/>
        <v>36</v>
      </c>
    </row>
    <row r="1738" spans="1:14" x14ac:dyDescent="0.25">
      <c r="A1738">
        <v>23</v>
      </c>
      <c r="B1738" s="1">
        <v>43955</v>
      </c>
      <c r="C1738" t="s">
        <v>336</v>
      </c>
      <c r="D1738" t="s">
        <v>55</v>
      </c>
      <c r="F1738" t="s">
        <v>228</v>
      </c>
      <c r="G1738">
        <v>6</v>
      </c>
      <c r="H1738">
        <v>300</v>
      </c>
      <c r="I1738">
        <f t="shared" si="1104"/>
        <v>1800</v>
      </c>
      <c r="J1738" t="s">
        <v>167</v>
      </c>
      <c r="K1738">
        <v>268</v>
      </c>
      <c r="M1738">
        <f t="shared" si="1102"/>
        <v>1608</v>
      </c>
      <c r="N1738">
        <f t="shared" si="1103"/>
        <v>192</v>
      </c>
    </row>
    <row r="1739" spans="1:14" x14ac:dyDescent="0.25">
      <c r="A1739">
        <v>24</v>
      </c>
      <c r="B1739" s="1">
        <v>43955</v>
      </c>
      <c r="C1739" t="s">
        <v>336</v>
      </c>
      <c r="D1739" t="s">
        <v>56</v>
      </c>
      <c r="F1739" t="s">
        <v>267</v>
      </c>
      <c r="G1739">
        <v>2</v>
      </c>
      <c r="H1739">
        <v>170</v>
      </c>
      <c r="I1739">
        <f t="shared" si="1104"/>
        <v>340</v>
      </c>
      <c r="J1739" t="s">
        <v>163</v>
      </c>
      <c r="K1739">
        <v>123</v>
      </c>
      <c r="M1739">
        <f t="shared" si="1102"/>
        <v>246</v>
      </c>
      <c r="N1739">
        <f t="shared" si="1103"/>
        <v>94</v>
      </c>
    </row>
    <row r="1740" spans="1:14" x14ac:dyDescent="0.25">
      <c r="A1740">
        <v>25</v>
      </c>
      <c r="B1740" s="1">
        <v>43955</v>
      </c>
      <c r="C1740" t="s">
        <v>336</v>
      </c>
      <c r="D1740" t="s">
        <v>25</v>
      </c>
      <c r="F1740" t="s">
        <v>315</v>
      </c>
      <c r="G1740">
        <v>1</v>
      </c>
      <c r="H1740">
        <v>100</v>
      </c>
      <c r="I1740">
        <f t="shared" si="1104"/>
        <v>100</v>
      </c>
      <c r="J1740" t="s">
        <v>163</v>
      </c>
      <c r="K1740">
        <v>69</v>
      </c>
      <c r="M1740">
        <f t="shared" si="1102"/>
        <v>69</v>
      </c>
      <c r="N1740">
        <f t="shared" si="1103"/>
        <v>31</v>
      </c>
    </row>
    <row r="1741" spans="1:14" x14ac:dyDescent="0.25">
      <c r="A1741">
        <v>26</v>
      </c>
      <c r="B1741" s="1">
        <v>43955</v>
      </c>
      <c r="C1741" t="s">
        <v>336</v>
      </c>
      <c r="D1741" t="s">
        <v>15</v>
      </c>
      <c r="F1741" t="s">
        <v>45</v>
      </c>
      <c r="G1741">
        <f>4/9</f>
        <v>0.44444444444444442</v>
      </c>
      <c r="H1741">
        <v>300</v>
      </c>
      <c r="I1741">
        <f t="shared" si="1104"/>
        <v>133.33333333333331</v>
      </c>
      <c r="J1741" t="s">
        <v>163</v>
      </c>
      <c r="K1741">
        <v>280</v>
      </c>
      <c r="M1741">
        <f t="shared" si="1102"/>
        <v>124.44444444444444</v>
      </c>
      <c r="N1741">
        <f t="shared" si="1103"/>
        <v>8.8888888888888715</v>
      </c>
    </row>
    <row r="1742" spans="1:14" x14ac:dyDescent="0.25">
      <c r="A1742">
        <v>27</v>
      </c>
      <c r="B1742" s="1">
        <v>43955</v>
      </c>
      <c r="C1742" t="s">
        <v>336</v>
      </c>
      <c r="D1742" t="s">
        <v>70</v>
      </c>
      <c r="F1742" t="s">
        <v>227</v>
      </c>
      <c r="G1742">
        <v>1</v>
      </c>
      <c r="H1742">
        <v>1600</v>
      </c>
      <c r="I1742">
        <f t="shared" si="1104"/>
        <v>1600</v>
      </c>
      <c r="J1742" t="s">
        <v>167</v>
      </c>
      <c r="K1742">
        <v>1440</v>
      </c>
      <c r="M1742">
        <f t="shared" si="1102"/>
        <v>1440</v>
      </c>
      <c r="N1742">
        <f t="shared" si="1103"/>
        <v>160</v>
      </c>
    </row>
    <row r="1743" spans="1:14" x14ac:dyDescent="0.25">
      <c r="A1743">
        <v>28</v>
      </c>
      <c r="B1743" s="1">
        <v>43955</v>
      </c>
      <c r="C1743" t="s">
        <v>336</v>
      </c>
      <c r="D1743" t="s">
        <v>70</v>
      </c>
      <c r="F1743" t="s">
        <v>269</v>
      </c>
      <c r="G1743">
        <v>1</v>
      </c>
      <c r="H1743">
        <v>1900</v>
      </c>
      <c r="I1743">
        <f t="shared" si="1104"/>
        <v>1900</v>
      </c>
      <c r="J1743" t="s">
        <v>167</v>
      </c>
      <c r="K1743">
        <v>1655</v>
      </c>
      <c r="M1743">
        <f t="shared" si="1102"/>
        <v>1655</v>
      </c>
      <c r="N1743">
        <f t="shared" si="1103"/>
        <v>245</v>
      </c>
    </row>
    <row r="1744" spans="1:14" x14ac:dyDescent="0.25">
      <c r="A1744">
        <v>29</v>
      </c>
      <c r="B1744" s="1">
        <v>43955</v>
      </c>
      <c r="C1744" t="s">
        <v>336</v>
      </c>
      <c r="D1744" t="s">
        <v>70</v>
      </c>
      <c r="F1744" t="s">
        <v>152</v>
      </c>
      <c r="G1744">
        <v>1</v>
      </c>
      <c r="H1744">
        <v>85</v>
      </c>
      <c r="I1744">
        <f t="shared" si="1104"/>
        <v>85</v>
      </c>
      <c r="J1744" t="s">
        <v>163</v>
      </c>
      <c r="K1744">
        <v>70</v>
      </c>
      <c r="M1744">
        <f t="shared" si="1102"/>
        <v>70</v>
      </c>
      <c r="N1744">
        <f t="shared" si="1103"/>
        <v>15</v>
      </c>
    </row>
    <row r="1745" spans="1:14" x14ac:dyDescent="0.25">
      <c r="A1745">
        <v>30</v>
      </c>
      <c r="B1745" s="1">
        <v>43955</v>
      </c>
      <c r="C1745" t="s">
        <v>336</v>
      </c>
      <c r="D1745" t="s">
        <v>70</v>
      </c>
      <c r="F1745" t="s">
        <v>339</v>
      </c>
      <c r="G1745">
        <v>1</v>
      </c>
      <c r="H1745">
        <v>80</v>
      </c>
      <c r="I1745">
        <f t="shared" si="1104"/>
        <v>80</v>
      </c>
      <c r="J1745" t="s">
        <v>163</v>
      </c>
      <c r="M1745" t="str">
        <f t="shared" si="1102"/>
        <v/>
      </c>
      <c r="N1745" t="str">
        <f t="shared" si="1103"/>
        <v/>
      </c>
    </row>
    <row r="1746" spans="1:14" x14ac:dyDescent="0.25">
      <c r="A1746">
        <v>31</v>
      </c>
      <c r="B1746" s="1">
        <v>43955</v>
      </c>
      <c r="C1746" t="s">
        <v>336</v>
      </c>
      <c r="D1746" t="s">
        <v>70</v>
      </c>
      <c r="F1746" t="s">
        <v>152</v>
      </c>
      <c r="G1746">
        <v>1</v>
      </c>
      <c r="H1746">
        <v>85</v>
      </c>
      <c r="I1746">
        <f t="shared" si="1104"/>
        <v>85</v>
      </c>
      <c r="J1746" t="s">
        <v>163</v>
      </c>
      <c r="K1746">
        <v>70</v>
      </c>
      <c r="M1746">
        <f t="shared" si="1102"/>
        <v>70</v>
      </c>
      <c r="N1746">
        <f t="shared" si="1103"/>
        <v>15</v>
      </c>
    </row>
    <row r="1747" spans="1:14" x14ac:dyDescent="0.25">
      <c r="A1747">
        <v>32</v>
      </c>
      <c r="B1747" s="1">
        <v>43955</v>
      </c>
      <c r="C1747" t="s">
        <v>336</v>
      </c>
      <c r="D1747" t="s">
        <v>55</v>
      </c>
      <c r="F1747" t="s">
        <v>39</v>
      </c>
      <c r="G1747">
        <v>1</v>
      </c>
      <c r="H1747">
        <v>300</v>
      </c>
      <c r="I1747">
        <f t="shared" si="1104"/>
        <v>300</v>
      </c>
      <c r="J1747" t="s">
        <v>167</v>
      </c>
      <c r="K1747">
        <v>268</v>
      </c>
      <c r="M1747">
        <f t="shared" ref="M1747:M1780" si="1106">+IF(K1747=0,(""),(K1747*G1747))</f>
        <v>268</v>
      </c>
      <c r="N1747">
        <f t="shared" ref="N1747:N1780" si="1107">+IF(K1747=0,(""),(I1747-M1747))</f>
        <v>32</v>
      </c>
    </row>
    <row r="1748" spans="1:14" x14ac:dyDescent="0.25">
      <c r="A1748">
        <v>33</v>
      </c>
      <c r="B1748" s="1">
        <v>43955</v>
      </c>
      <c r="C1748" t="s">
        <v>336</v>
      </c>
      <c r="D1748" t="s">
        <v>15</v>
      </c>
      <c r="F1748" t="s">
        <v>292</v>
      </c>
      <c r="G1748">
        <v>2.5</v>
      </c>
      <c r="H1748">
        <v>230</v>
      </c>
      <c r="I1748">
        <f t="shared" si="1104"/>
        <v>575</v>
      </c>
      <c r="J1748" t="s">
        <v>163</v>
      </c>
      <c r="K1748">
        <v>177</v>
      </c>
      <c r="M1748">
        <f t="shared" si="1106"/>
        <v>442.5</v>
      </c>
      <c r="N1748">
        <f t="shared" si="1107"/>
        <v>132.5</v>
      </c>
    </row>
    <row r="1749" spans="1:14" x14ac:dyDescent="0.25">
      <c r="A1749">
        <v>34</v>
      </c>
      <c r="B1749" s="1">
        <v>43955</v>
      </c>
      <c r="C1749" t="s">
        <v>336</v>
      </c>
      <c r="D1749" t="s">
        <v>15</v>
      </c>
      <c r="F1749" t="s">
        <v>54</v>
      </c>
      <c r="G1749">
        <v>3</v>
      </c>
      <c r="H1749">
        <v>240</v>
      </c>
      <c r="I1749">
        <f t="shared" si="1104"/>
        <v>720</v>
      </c>
      <c r="J1749" t="s">
        <v>163</v>
      </c>
      <c r="K1749">
        <v>212</v>
      </c>
      <c r="M1749">
        <f t="shared" si="1106"/>
        <v>636</v>
      </c>
      <c r="N1749">
        <f t="shared" si="1107"/>
        <v>84</v>
      </c>
    </row>
    <row r="1750" spans="1:14" x14ac:dyDescent="0.25">
      <c r="A1750">
        <v>35</v>
      </c>
      <c r="B1750" s="1">
        <v>43955</v>
      </c>
      <c r="C1750" t="s">
        <v>336</v>
      </c>
      <c r="D1750" t="s">
        <v>25</v>
      </c>
      <c r="F1750" t="s">
        <v>337</v>
      </c>
      <c r="G1750">
        <v>3</v>
      </c>
      <c r="H1750">
        <v>50</v>
      </c>
      <c r="I1750">
        <f t="shared" si="1104"/>
        <v>150</v>
      </c>
      <c r="J1750" t="s">
        <v>165</v>
      </c>
      <c r="K1750">
        <f t="shared" ref="K1750:K1751" si="1108">380/12</f>
        <v>31.666666666666668</v>
      </c>
      <c r="M1750">
        <f t="shared" si="1106"/>
        <v>95</v>
      </c>
      <c r="N1750">
        <f t="shared" si="1107"/>
        <v>55</v>
      </c>
    </row>
    <row r="1751" spans="1:14" x14ac:dyDescent="0.25">
      <c r="A1751">
        <v>36</v>
      </c>
      <c r="B1751" s="1">
        <v>43955</v>
      </c>
      <c r="C1751" t="s">
        <v>336</v>
      </c>
      <c r="D1751" t="s">
        <v>25</v>
      </c>
      <c r="F1751" t="s">
        <v>71</v>
      </c>
      <c r="G1751">
        <v>5</v>
      </c>
      <c r="H1751">
        <v>50</v>
      </c>
      <c r="I1751">
        <f t="shared" si="1104"/>
        <v>250</v>
      </c>
      <c r="J1751" t="s">
        <v>165</v>
      </c>
      <c r="K1751">
        <f t="shared" si="1108"/>
        <v>31.666666666666668</v>
      </c>
      <c r="M1751">
        <f t="shared" si="1106"/>
        <v>158.33333333333334</v>
      </c>
      <c r="N1751">
        <f t="shared" si="1107"/>
        <v>91.666666666666657</v>
      </c>
    </row>
    <row r="1752" spans="1:14" x14ac:dyDescent="0.25">
      <c r="A1752">
        <v>37</v>
      </c>
      <c r="B1752" s="1">
        <v>43955</v>
      </c>
      <c r="C1752" t="s">
        <v>336</v>
      </c>
      <c r="D1752" t="s">
        <v>26</v>
      </c>
      <c r="F1752" t="s">
        <v>144</v>
      </c>
      <c r="G1752">
        <v>30</v>
      </c>
      <c r="H1752">
        <v>420</v>
      </c>
      <c r="I1752">
        <f t="shared" si="1104"/>
        <v>12600</v>
      </c>
      <c r="J1752" t="s">
        <v>99</v>
      </c>
      <c r="K1752">
        <v>360</v>
      </c>
      <c r="M1752">
        <f t="shared" si="1106"/>
        <v>10800</v>
      </c>
      <c r="N1752">
        <f t="shared" si="1107"/>
        <v>1800</v>
      </c>
    </row>
    <row r="1753" spans="1:14" x14ac:dyDescent="0.25">
      <c r="A1753">
        <v>38</v>
      </c>
      <c r="B1753" s="1">
        <v>43955</v>
      </c>
      <c r="C1753" t="s">
        <v>336</v>
      </c>
      <c r="D1753" t="s">
        <v>15</v>
      </c>
      <c r="F1753" t="s">
        <v>17</v>
      </c>
      <c r="G1753">
        <v>3</v>
      </c>
      <c r="H1753">
        <v>360</v>
      </c>
      <c r="I1753">
        <f t="shared" si="1104"/>
        <v>1080</v>
      </c>
      <c r="J1753" t="s">
        <v>167</v>
      </c>
      <c r="K1753">
        <v>306</v>
      </c>
      <c r="M1753">
        <f t="shared" si="1106"/>
        <v>918</v>
      </c>
      <c r="N1753">
        <f t="shared" si="1107"/>
        <v>162</v>
      </c>
    </row>
    <row r="1754" spans="1:14" x14ac:dyDescent="0.25">
      <c r="A1754">
        <v>39</v>
      </c>
      <c r="B1754" s="1">
        <v>43955</v>
      </c>
      <c r="C1754" t="s">
        <v>336</v>
      </c>
      <c r="D1754" t="s">
        <v>44</v>
      </c>
      <c r="F1754" t="s">
        <v>226</v>
      </c>
      <c r="G1754">
        <v>2</v>
      </c>
      <c r="H1754">
        <v>35</v>
      </c>
      <c r="I1754">
        <f t="shared" si="1104"/>
        <v>70</v>
      </c>
      <c r="J1754" t="s">
        <v>166</v>
      </c>
      <c r="K1754">
        <v>26</v>
      </c>
      <c r="M1754">
        <f t="shared" si="1106"/>
        <v>52</v>
      </c>
      <c r="N1754">
        <f t="shared" si="1107"/>
        <v>18</v>
      </c>
    </row>
    <row r="1755" spans="1:14" x14ac:dyDescent="0.25">
      <c r="A1755">
        <v>40</v>
      </c>
      <c r="B1755" s="1">
        <v>43955</v>
      </c>
      <c r="C1755" t="s">
        <v>336</v>
      </c>
      <c r="D1755" t="s">
        <v>25</v>
      </c>
      <c r="F1755" t="s">
        <v>337</v>
      </c>
      <c r="G1755">
        <v>4</v>
      </c>
      <c r="H1755">
        <v>60</v>
      </c>
      <c r="I1755">
        <f t="shared" si="1104"/>
        <v>240</v>
      </c>
      <c r="J1755" t="s">
        <v>165</v>
      </c>
      <c r="K1755">
        <f t="shared" ref="K1755" si="1109">380/12</f>
        <v>31.666666666666668</v>
      </c>
      <c r="M1755">
        <f t="shared" si="1106"/>
        <v>126.66666666666667</v>
      </c>
      <c r="N1755">
        <f t="shared" si="1107"/>
        <v>113.33333333333333</v>
      </c>
    </row>
    <row r="1756" spans="1:14" x14ac:dyDescent="0.25">
      <c r="A1756">
        <v>41</v>
      </c>
      <c r="B1756" s="1">
        <v>43956</v>
      </c>
      <c r="C1756" t="s">
        <v>336</v>
      </c>
      <c r="D1756" t="s">
        <v>15</v>
      </c>
      <c r="F1756" t="s">
        <v>29</v>
      </c>
      <c r="G1756">
        <v>1.53</v>
      </c>
      <c r="H1756">
        <v>230</v>
      </c>
      <c r="I1756">
        <f t="shared" si="1104"/>
        <v>351.90000000000003</v>
      </c>
      <c r="J1756" t="s">
        <v>163</v>
      </c>
      <c r="K1756">
        <v>198</v>
      </c>
      <c r="M1756">
        <f t="shared" si="1106"/>
        <v>302.94</v>
      </c>
      <c r="N1756">
        <f t="shared" si="1107"/>
        <v>48.960000000000036</v>
      </c>
    </row>
    <row r="1757" spans="1:14" x14ac:dyDescent="0.25">
      <c r="A1757">
        <v>42</v>
      </c>
      <c r="B1757" s="1">
        <v>43956</v>
      </c>
      <c r="C1757" t="s">
        <v>336</v>
      </c>
      <c r="D1757" t="s">
        <v>15</v>
      </c>
      <c r="F1757" t="s">
        <v>29</v>
      </c>
      <c r="G1757">
        <v>2</v>
      </c>
      <c r="H1757">
        <v>230</v>
      </c>
      <c r="I1757">
        <f t="shared" si="1104"/>
        <v>460</v>
      </c>
      <c r="J1757" t="s">
        <v>163</v>
      </c>
      <c r="K1757">
        <v>198</v>
      </c>
      <c r="M1757">
        <f t="shared" si="1106"/>
        <v>396</v>
      </c>
      <c r="N1757">
        <f t="shared" si="1107"/>
        <v>64</v>
      </c>
    </row>
    <row r="1758" spans="1:14" x14ac:dyDescent="0.25">
      <c r="A1758">
        <v>43</v>
      </c>
      <c r="B1758" s="1">
        <v>43956</v>
      </c>
      <c r="C1758" t="s">
        <v>336</v>
      </c>
      <c r="D1758" t="s">
        <v>55</v>
      </c>
      <c r="F1758" t="s">
        <v>39</v>
      </c>
      <c r="G1758">
        <v>1</v>
      </c>
      <c r="H1758">
        <v>300</v>
      </c>
      <c r="I1758">
        <f t="shared" si="1104"/>
        <v>300</v>
      </c>
      <c r="J1758" t="s">
        <v>167</v>
      </c>
      <c r="K1758">
        <v>268</v>
      </c>
      <c r="M1758">
        <f t="shared" si="1106"/>
        <v>268</v>
      </c>
      <c r="N1758">
        <f t="shared" si="1107"/>
        <v>32</v>
      </c>
    </row>
    <row r="1759" spans="1:14" x14ac:dyDescent="0.25">
      <c r="A1759">
        <v>44</v>
      </c>
      <c r="B1759" s="1">
        <v>43956</v>
      </c>
      <c r="C1759" t="s">
        <v>336</v>
      </c>
      <c r="D1759" t="s">
        <v>44</v>
      </c>
      <c r="F1759" t="s">
        <v>77</v>
      </c>
      <c r="G1759">
        <v>1</v>
      </c>
      <c r="H1759">
        <v>35</v>
      </c>
      <c r="I1759">
        <f t="shared" si="1104"/>
        <v>35</v>
      </c>
      <c r="J1759" t="s">
        <v>166</v>
      </c>
      <c r="K1759">
        <v>26</v>
      </c>
      <c r="M1759">
        <f t="shared" si="1106"/>
        <v>26</v>
      </c>
      <c r="N1759">
        <f t="shared" si="1107"/>
        <v>9</v>
      </c>
    </row>
    <row r="1760" spans="1:14" x14ac:dyDescent="0.25">
      <c r="A1760">
        <v>45</v>
      </c>
      <c r="B1760" s="1">
        <v>43956</v>
      </c>
      <c r="C1760" t="s">
        <v>336</v>
      </c>
      <c r="D1760" t="s">
        <v>25</v>
      </c>
      <c r="F1760" t="s">
        <v>337</v>
      </c>
      <c r="G1760">
        <v>2</v>
      </c>
      <c r="H1760">
        <v>60</v>
      </c>
      <c r="I1760">
        <f t="shared" si="1104"/>
        <v>120</v>
      </c>
      <c r="J1760" t="s">
        <v>165</v>
      </c>
      <c r="K1760">
        <f t="shared" ref="K1760" si="1110">380/12</f>
        <v>31.666666666666668</v>
      </c>
      <c r="M1760">
        <f t="shared" si="1106"/>
        <v>63.333333333333336</v>
      </c>
      <c r="N1760">
        <f t="shared" si="1107"/>
        <v>56.666666666666664</v>
      </c>
    </row>
    <row r="1761" spans="1:14" x14ac:dyDescent="0.25">
      <c r="A1761">
        <v>46</v>
      </c>
      <c r="B1761" s="1">
        <v>43956</v>
      </c>
      <c r="C1761" t="s">
        <v>336</v>
      </c>
      <c r="D1761" t="s">
        <v>55</v>
      </c>
      <c r="F1761" t="s">
        <v>149</v>
      </c>
      <c r="G1761">
        <v>5</v>
      </c>
      <c r="H1761">
        <v>300</v>
      </c>
      <c r="I1761">
        <f t="shared" si="1104"/>
        <v>1500</v>
      </c>
      <c r="J1761" t="s">
        <v>167</v>
      </c>
      <c r="K1761">
        <v>268</v>
      </c>
      <c r="M1761">
        <f t="shared" si="1106"/>
        <v>1340</v>
      </c>
      <c r="N1761">
        <f t="shared" si="1107"/>
        <v>160</v>
      </c>
    </row>
    <row r="1762" spans="1:14" x14ac:dyDescent="0.25">
      <c r="A1762">
        <v>47</v>
      </c>
      <c r="B1762" s="1">
        <v>43957</v>
      </c>
      <c r="C1762" t="s">
        <v>336</v>
      </c>
      <c r="D1762" t="s">
        <v>15</v>
      </c>
      <c r="F1762" t="s">
        <v>252</v>
      </c>
      <c r="G1762">
        <v>3</v>
      </c>
      <c r="H1762">
        <v>280</v>
      </c>
      <c r="I1762">
        <f t="shared" si="1104"/>
        <v>840</v>
      </c>
      <c r="J1762" t="s">
        <v>163</v>
      </c>
      <c r="K1762">
        <v>245</v>
      </c>
      <c r="M1762">
        <f t="shared" si="1106"/>
        <v>735</v>
      </c>
      <c r="N1762">
        <f t="shared" si="1107"/>
        <v>105</v>
      </c>
    </row>
    <row r="1763" spans="1:14" x14ac:dyDescent="0.25">
      <c r="A1763">
        <v>48</v>
      </c>
      <c r="B1763" s="1">
        <v>43957</v>
      </c>
      <c r="C1763" t="s">
        <v>336</v>
      </c>
      <c r="D1763" t="s">
        <v>15</v>
      </c>
      <c r="F1763" t="s">
        <v>33</v>
      </c>
      <c r="G1763">
        <v>6</v>
      </c>
      <c r="H1763">
        <v>230</v>
      </c>
      <c r="I1763">
        <f t="shared" si="1104"/>
        <v>1380</v>
      </c>
      <c r="J1763" t="s">
        <v>163</v>
      </c>
      <c r="K1763">
        <v>204</v>
      </c>
      <c r="M1763">
        <f t="shared" si="1106"/>
        <v>1224</v>
      </c>
      <c r="N1763">
        <f t="shared" si="1107"/>
        <v>156</v>
      </c>
    </row>
    <row r="1764" spans="1:14" x14ac:dyDescent="0.25">
      <c r="A1764">
        <v>49</v>
      </c>
      <c r="B1764" s="1">
        <v>43957</v>
      </c>
      <c r="C1764" t="s">
        <v>336</v>
      </c>
      <c r="D1764" t="s">
        <v>15</v>
      </c>
      <c r="F1764" t="s">
        <v>29</v>
      </c>
      <c r="G1764">
        <v>1.53</v>
      </c>
      <c r="H1764">
        <v>230</v>
      </c>
      <c r="I1764">
        <f t="shared" si="1104"/>
        <v>351.90000000000003</v>
      </c>
      <c r="J1764" t="s">
        <v>163</v>
      </c>
      <c r="K1764">
        <v>198</v>
      </c>
      <c r="M1764">
        <f t="shared" si="1106"/>
        <v>302.94</v>
      </c>
      <c r="N1764">
        <f t="shared" si="1107"/>
        <v>48.960000000000036</v>
      </c>
    </row>
    <row r="1765" spans="1:14" x14ac:dyDescent="0.25">
      <c r="A1765">
        <v>50</v>
      </c>
      <c r="B1765" s="1">
        <v>43957</v>
      </c>
      <c r="C1765" t="s">
        <v>336</v>
      </c>
      <c r="D1765" t="s">
        <v>78</v>
      </c>
      <c r="F1765" t="s">
        <v>124</v>
      </c>
      <c r="G1765">
        <v>1</v>
      </c>
      <c r="H1765">
        <v>90</v>
      </c>
      <c r="I1765">
        <f t="shared" si="1104"/>
        <v>90</v>
      </c>
      <c r="J1765" t="s">
        <v>166</v>
      </c>
      <c r="M1765" t="str">
        <f t="shared" si="1106"/>
        <v/>
      </c>
      <c r="N1765" t="str">
        <f t="shared" si="1107"/>
        <v/>
      </c>
    </row>
    <row r="1766" spans="1:14" x14ac:dyDescent="0.25">
      <c r="A1766">
        <v>51</v>
      </c>
      <c r="B1766" s="1">
        <v>43957</v>
      </c>
      <c r="C1766" t="s">
        <v>336</v>
      </c>
      <c r="D1766" t="s">
        <v>70</v>
      </c>
      <c r="F1766" t="s">
        <v>265</v>
      </c>
      <c r="G1766">
        <v>1</v>
      </c>
      <c r="H1766">
        <v>230</v>
      </c>
      <c r="I1766">
        <f t="shared" si="1104"/>
        <v>230</v>
      </c>
      <c r="J1766" t="s">
        <v>198</v>
      </c>
      <c r="M1766" t="str">
        <f t="shared" si="1106"/>
        <v/>
      </c>
      <c r="N1766" t="str">
        <f t="shared" si="1107"/>
        <v/>
      </c>
    </row>
    <row r="1767" spans="1:14" x14ac:dyDescent="0.25">
      <c r="A1767">
        <v>52</v>
      </c>
      <c r="B1767" s="1">
        <v>43957</v>
      </c>
      <c r="C1767" t="s">
        <v>336</v>
      </c>
      <c r="D1767" t="s">
        <v>78</v>
      </c>
      <c r="F1767" t="s">
        <v>245</v>
      </c>
      <c r="G1767">
        <v>1</v>
      </c>
      <c r="H1767">
        <v>80</v>
      </c>
      <c r="I1767">
        <f t="shared" si="1104"/>
        <v>80</v>
      </c>
      <c r="J1767" t="s">
        <v>166</v>
      </c>
      <c r="M1767" t="str">
        <f t="shared" si="1106"/>
        <v/>
      </c>
      <c r="N1767" t="str">
        <f t="shared" si="1107"/>
        <v/>
      </c>
    </row>
    <row r="1768" spans="1:14" x14ac:dyDescent="0.25">
      <c r="A1768">
        <v>53</v>
      </c>
      <c r="B1768" s="1">
        <v>43957</v>
      </c>
      <c r="C1768" t="s">
        <v>336</v>
      </c>
      <c r="D1768" t="s">
        <v>15</v>
      </c>
      <c r="F1768" t="s">
        <v>17</v>
      </c>
      <c r="G1768">
        <v>13</v>
      </c>
      <c r="H1768">
        <v>360</v>
      </c>
      <c r="I1768">
        <f t="shared" si="1104"/>
        <v>4680</v>
      </c>
      <c r="J1768" t="s">
        <v>167</v>
      </c>
      <c r="K1768">
        <v>306</v>
      </c>
      <c r="M1768">
        <f t="shared" si="1106"/>
        <v>3978</v>
      </c>
      <c r="N1768">
        <f t="shared" si="1107"/>
        <v>702</v>
      </c>
    </row>
    <row r="1769" spans="1:14" x14ac:dyDescent="0.25">
      <c r="A1769">
        <v>54</v>
      </c>
      <c r="B1769" s="1">
        <v>43957</v>
      </c>
      <c r="C1769" t="s">
        <v>336</v>
      </c>
      <c r="D1769" t="s">
        <v>25</v>
      </c>
      <c r="F1769" t="s">
        <v>130</v>
      </c>
      <c r="G1769">
        <v>1</v>
      </c>
      <c r="H1769">
        <v>60</v>
      </c>
      <c r="I1769">
        <f t="shared" si="1104"/>
        <v>60</v>
      </c>
      <c r="J1769" t="s">
        <v>165</v>
      </c>
      <c r="K1769">
        <f t="shared" ref="K1769" si="1111">380/12</f>
        <v>31.666666666666668</v>
      </c>
      <c r="M1769">
        <f t="shared" si="1106"/>
        <v>31.666666666666668</v>
      </c>
      <c r="N1769">
        <f t="shared" si="1107"/>
        <v>28.333333333333332</v>
      </c>
    </row>
    <row r="1770" spans="1:14" x14ac:dyDescent="0.25">
      <c r="A1770">
        <v>55</v>
      </c>
      <c r="B1770" s="1">
        <v>43957</v>
      </c>
      <c r="C1770" t="s">
        <v>336</v>
      </c>
      <c r="D1770" t="s">
        <v>55</v>
      </c>
      <c r="F1770" t="s">
        <v>270</v>
      </c>
      <c r="G1770">
        <v>2</v>
      </c>
      <c r="H1770">
        <v>300</v>
      </c>
      <c r="I1770">
        <f t="shared" si="1104"/>
        <v>600</v>
      </c>
      <c r="J1770" t="s">
        <v>167</v>
      </c>
      <c r="K1770">
        <v>268</v>
      </c>
      <c r="M1770">
        <f t="shared" si="1106"/>
        <v>536</v>
      </c>
      <c r="N1770">
        <f t="shared" si="1107"/>
        <v>64</v>
      </c>
    </row>
    <row r="1771" spans="1:14" x14ac:dyDescent="0.25">
      <c r="A1771">
        <v>56</v>
      </c>
      <c r="B1771" s="1">
        <v>43958</v>
      </c>
      <c r="C1771" t="s">
        <v>336</v>
      </c>
      <c r="D1771" t="s">
        <v>70</v>
      </c>
      <c r="F1771" t="s">
        <v>265</v>
      </c>
      <c r="G1771">
        <v>1</v>
      </c>
      <c r="H1771">
        <v>230</v>
      </c>
      <c r="I1771">
        <f t="shared" si="1104"/>
        <v>230</v>
      </c>
      <c r="J1771" t="s">
        <v>198</v>
      </c>
      <c r="M1771" t="str">
        <f t="shared" si="1106"/>
        <v/>
      </c>
      <c r="N1771" t="str">
        <f t="shared" si="1107"/>
        <v/>
      </c>
    </row>
    <row r="1772" spans="1:14" x14ac:dyDescent="0.25">
      <c r="A1772">
        <v>57</v>
      </c>
      <c r="B1772" s="1">
        <v>43958</v>
      </c>
      <c r="C1772" t="s">
        <v>336</v>
      </c>
      <c r="D1772" t="s">
        <v>70</v>
      </c>
      <c r="F1772" t="s">
        <v>227</v>
      </c>
      <c r="G1772">
        <v>1</v>
      </c>
      <c r="H1772">
        <v>1650</v>
      </c>
      <c r="I1772">
        <f t="shared" si="1104"/>
        <v>1650</v>
      </c>
      <c r="J1772" t="s">
        <v>167</v>
      </c>
      <c r="K1772">
        <v>1440</v>
      </c>
      <c r="M1772">
        <f t="shared" si="1106"/>
        <v>1440</v>
      </c>
      <c r="N1772">
        <f t="shared" si="1107"/>
        <v>210</v>
      </c>
    </row>
    <row r="1773" spans="1:14" x14ac:dyDescent="0.25">
      <c r="A1773">
        <v>58</v>
      </c>
      <c r="B1773" s="1">
        <v>43958</v>
      </c>
      <c r="C1773" t="s">
        <v>336</v>
      </c>
      <c r="D1773" t="s">
        <v>15</v>
      </c>
      <c r="F1773" t="s">
        <v>54</v>
      </c>
      <c r="G1773">
        <v>12</v>
      </c>
      <c r="H1773">
        <v>240</v>
      </c>
      <c r="I1773">
        <f t="shared" si="1104"/>
        <v>2880</v>
      </c>
      <c r="J1773" t="s">
        <v>163</v>
      </c>
      <c r="K1773">
        <v>212</v>
      </c>
      <c r="M1773">
        <f t="shared" si="1106"/>
        <v>2544</v>
      </c>
      <c r="N1773">
        <f t="shared" si="1107"/>
        <v>336</v>
      </c>
    </row>
    <row r="1774" spans="1:14" x14ac:dyDescent="0.25">
      <c r="A1774">
        <v>59</v>
      </c>
      <c r="B1774" s="1">
        <v>43958</v>
      </c>
      <c r="C1774" t="s">
        <v>336</v>
      </c>
      <c r="D1774" t="s">
        <v>56</v>
      </c>
      <c r="F1774" t="s">
        <v>267</v>
      </c>
      <c r="G1774">
        <v>5</v>
      </c>
      <c r="H1774">
        <v>170</v>
      </c>
      <c r="I1774">
        <f t="shared" si="1104"/>
        <v>850</v>
      </c>
      <c r="J1774" t="s">
        <v>163</v>
      </c>
      <c r="K1774">
        <v>123</v>
      </c>
      <c r="M1774">
        <f t="shared" si="1106"/>
        <v>615</v>
      </c>
      <c r="N1774">
        <f t="shared" si="1107"/>
        <v>235</v>
      </c>
    </row>
    <row r="1775" spans="1:14" x14ac:dyDescent="0.25">
      <c r="A1775">
        <v>60</v>
      </c>
      <c r="B1775" s="1">
        <v>43958</v>
      </c>
      <c r="C1775" t="s">
        <v>336</v>
      </c>
      <c r="D1775" t="s">
        <v>70</v>
      </c>
      <c r="F1775" t="s">
        <v>265</v>
      </c>
      <c r="G1775">
        <v>1</v>
      </c>
      <c r="H1775">
        <v>230</v>
      </c>
      <c r="I1775">
        <f t="shared" si="1104"/>
        <v>230</v>
      </c>
      <c r="J1775" t="s">
        <v>198</v>
      </c>
      <c r="M1775" t="str">
        <f t="shared" si="1106"/>
        <v/>
      </c>
      <c r="N1775" t="str">
        <f t="shared" si="1107"/>
        <v/>
      </c>
    </row>
    <row r="1776" spans="1:14" x14ac:dyDescent="0.25">
      <c r="A1776">
        <v>61</v>
      </c>
      <c r="B1776" s="1">
        <v>43958</v>
      </c>
      <c r="C1776" t="s">
        <v>336</v>
      </c>
      <c r="D1776" t="s">
        <v>15</v>
      </c>
      <c r="F1776" t="s">
        <v>29</v>
      </c>
      <c r="G1776">
        <v>6</v>
      </c>
      <c r="H1776">
        <v>230</v>
      </c>
      <c r="I1776">
        <f t="shared" si="1104"/>
        <v>1380</v>
      </c>
      <c r="J1776" t="s">
        <v>163</v>
      </c>
      <c r="K1776">
        <v>198</v>
      </c>
      <c r="M1776">
        <f t="shared" si="1106"/>
        <v>1188</v>
      </c>
      <c r="N1776">
        <f t="shared" si="1107"/>
        <v>192</v>
      </c>
    </row>
    <row r="1777" spans="1:14" x14ac:dyDescent="0.25">
      <c r="A1777">
        <v>62</v>
      </c>
      <c r="B1777" s="1">
        <v>43958</v>
      </c>
      <c r="C1777" t="s">
        <v>336</v>
      </c>
      <c r="D1777" t="s">
        <v>44</v>
      </c>
      <c r="F1777" t="s">
        <v>226</v>
      </c>
      <c r="G1777">
        <v>1</v>
      </c>
      <c r="H1777">
        <v>35</v>
      </c>
      <c r="I1777">
        <f t="shared" si="1104"/>
        <v>35</v>
      </c>
      <c r="J1777" t="s">
        <v>166</v>
      </c>
      <c r="K1777">
        <v>26</v>
      </c>
      <c r="M1777">
        <f t="shared" si="1106"/>
        <v>26</v>
      </c>
      <c r="N1777">
        <f t="shared" si="1107"/>
        <v>9</v>
      </c>
    </row>
    <row r="1778" spans="1:14" x14ac:dyDescent="0.25">
      <c r="A1778">
        <v>63</v>
      </c>
      <c r="B1778" s="1">
        <v>43958</v>
      </c>
      <c r="C1778" t="s">
        <v>336</v>
      </c>
      <c r="D1778" t="s">
        <v>25</v>
      </c>
      <c r="F1778" t="s">
        <v>127</v>
      </c>
      <c r="G1778">
        <v>2</v>
      </c>
      <c r="H1778">
        <v>60</v>
      </c>
      <c r="I1778">
        <f t="shared" si="1104"/>
        <v>120</v>
      </c>
      <c r="J1778" t="s">
        <v>165</v>
      </c>
      <c r="K1778">
        <f t="shared" ref="K1778" si="1112">380/12</f>
        <v>31.666666666666668</v>
      </c>
      <c r="M1778">
        <f t="shared" si="1106"/>
        <v>63.333333333333336</v>
      </c>
      <c r="N1778">
        <f t="shared" si="1107"/>
        <v>56.666666666666664</v>
      </c>
    </row>
    <row r="1779" spans="1:14" x14ac:dyDescent="0.25">
      <c r="A1779">
        <v>64</v>
      </c>
      <c r="B1779" s="1">
        <v>43958</v>
      </c>
      <c r="C1779" t="s">
        <v>336</v>
      </c>
      <c r="D1779" t="s">
        <v>78</v>
      </c>
      <c r="F1779" t="s">
        <v>266</v>
      </c>
      <c r="G1779">
        <v>1</v>
      </c>
      <c r="H1779">
        <v>820</v>
      </c>
      <c r="I1779">
        <f t="shared" si="1104"/>
        <v>820</v>
      </c>
      <c r="J1779" t="s">
        <v>166</v>
      </c>
      <c r="M1779" t="str">
        <f t="shared" si="1106"/>
        <v/>
      </c>
      <c r="N1779" t="str">
        <f t="shared" si="1107"/>
        <v/>
      </c>
    </row>
    <row r="1780" spans="1:14" x14ac:dyDescent="0.25">
      <c r="A1780">
        <v>65</v>
      </c>
      <c r="B1780" s="1">
        <v>43958</v>
      </c>
      <c r="C1780" t="s">
        <v>336</v>
      </c>
      <c r="D1780" t="s">
        <v>78</v>
      </c>
      <c r="F1780" t="s">
        <v>79</v>
      </c>
      <c r="G1780">
        <v>1</v>
      </c>
      <c r="H1780">
        <v>1550</v>
      </c>
      <c r="I1780">
        <f t="shared" si="1104"/>
        <v>1550</v>
      </c>
      <c r="J1780" t="s">
        <v>167</v>
      </c>
      <c r="K1780">
        <v>1330</v>
      </c>
      <c r="M1780">
        <f t="shared" si="1106"/>
        <v>1330</v>
      </c>
      <c r="N1780">
        <f t="shared" si="1107"/>
        <v>220</v>
      </c>
    </row>
    <row r="1781" spans="1:14" x14ac:dyDescent="0.25">
      <c r="A1781">
        <v>66</v>
      </c>
      <c r="B1781" s="1">
        <v>43959</v>
      </c>
      <c r="C1781" t="s">
        <v>336</v>
      </c>
      <c r="D1781" t="s">
        <v>15</v>
      </c>
      <c r="F1781" t="s">
        <v>20</v>
      </c>
      <c r="G1781">
        <v>40</v>
      </c>
      <c r="H1781">
        <v>240</v>
      </c>
      <c r="I1781">
        <f t="shared" si="1104"/>
        <v>9600</v>
      </c>
      <c r="J1781" t="s">
        <v>163</v>
      </c>
      <c r="K1781">
        <v>217</v>
      </c>
      <c r="M1781">
        <f t="shared" ref="M1781:M1784" si="1113">+IF(K1781=0,(""),(K1781*G1781))</f>
        <v>8680</v>
      </c>
      <c r="N1781">
        <f t="shared" ref="N1781:N1784" si="1114">+IF(K1781=0,(""),(I1781-M1781))</f>
        <v>920</v>
      </c>
    </row>
    <row r="1782" spans="1:14" x14ac:dyDescent="0.25">
      <c r="A1782">
        <v>67</v>
      </c>
      <c r="B1782" s="1">
        <v>43959</v>
      </c>
      <c r="C1782" t="s">
        <v>336</v>
      </c>
      <c r="D1782" t="s">
        <v>70</v>
      </c>
      <c r="F1782" t="s">
        <v>227</v>
      </c>
      <c r="G1782">
        <v>1</v>
      </c>
      <c r="H1782">
        <v>1650</v>
      </c>
      <c r="I1782">
        <f t="shared" si="1104"/>
        <v>1650</v>
      </c>
      <c r="J1782" t="s">
        <v>167</v>
      </c>
      <c r="K1782">
        <v>1440</v>
      </c>
      <c r="M1782">
        <f t="shared" si="1113"/>
        <v>1440</v>
      </c>
      <c r="N1782">
        <f t="shared" si="1114"/>
        <v>210</v>
      </c>
    </row>
    <row r="1783" spans="1:14" x14ac:dyDescent="0.25">
      <c r="A1783">
        <v>68</v>
      </c>
      <c r="B1783" s="1">
        <v>43959</v>
      </c>
      <c r="C1783" t="s">
        <v>336</v>
      </c>
      <c r="D1783" t="s">
        <v>56</v>
      </c>
      <c r="F1783" t="s">
        <v>267</v>
      </c>
      <c r="G1783">
        <v>1</v>
      </c>
      <c r="H1783">
        <v>170</v>
      </c>
      <c r="I1783">
        <f t="shared" si="1104"/>
        <v>170</v>
      </c>
      <c r="J1783" t="s">
        <v>163</v>
      </c>
      <c r="K1783">
        <v>123</v>
      </c>
      <c r="M1783">
        <f t="shared" si="1113"/>
        <v>123</v>
      </c>
      <c r="N1783">
        <f t="shared" si="1114"/>
        <v>47</v>
      </c>
    </row>
    <row r="1784" spans="1:14" x14ac:dyDescent="0.25">
      <c r="A1784">
        <v>69</v>
      </c>
      <c r="B1784" s="1">
        <v>43959</v>
      </c>
      <c r="C1784" t="s">
        <v>336</v>
      </c>
      <c r="D1784" t="s">
        <v>15</v>
      </c>
      <c r="F1784" t="s">
        <v>219</v>
      </c>
      <c r="G1784">
        <v>1</v>
      </c>
      <c r="H1784">
        <v>240</v>
      </c>
      <c r="I1784">
        <f t="shared" si="1104"/>
        <v>240</v>
      </c>
      <c r="J1784" t="s">
        <v>163</v>
      </c>
      <c r="K1784">
        <v>213</v>
      </c>
      <c r="M1784">
        <f t="shared" si="1113"/>
        <v>213</v>
      </c>
      <c r="N1784">
        <f t="shared" si="1114"/>
        <v>27</v>
      </c>
    </row>
    <row r="1785" spans="1:14" x14ac:dyDescent="0.25">
      <c r="A1785">
        <v>70</v>
      </c>
      <c r="B1785" s="1">
        <v>43959</v>
      </c>
      <c r="C1785" t="s">
        <v>336</v>
      </c>
      <c r="D1785" t="s">
        <v>24</v>
      </c>
      <c r="F1785" t="s">
        <v>24</v>
      </c>
      <c r="G1785">
        <v>0.5</v>
      </c>
      <c r="H1785">
        <v>100</v>
      </c>
      <c r="I1785">
        <f t="shared" si="1104"/>
        <v>50</v>
      </c>
      <c r="J1785" t="s">
        <v>186</v>
      </c>
      <c r="K1785">
        <v>68.22</v>
      </c>
      <c r="M1785">
        <f t="shared" ref="M1785:M1796" si="1115">+IF(K1785=0,(""),(K1785*G1785))</f>
        <v>34.11</v>
      </c>
      <c r="N1785">
        <f t="shared" ref="N1785:N1796" si="1116">+IF(K1785=0,(""),(I1785-M1785))</f>
        <v>15.89</v>
      </c>
    </row>
    <row r="1786" spans="1:14" x14ac:dyDescent="0.25">
      <c r="A1786">
        <v>71</v>
      </c>
      <c r="B1786" s="1">
        <v>43959</v>
      </c>
      <c r="C1786" t="s">
        <v>336</v>
      </c>
      <c r="D1786" t="s">
        <v>55</v>
      </c>
      <c r="F1786" t="s">
        <v>228</v>
      </c>
      <c r="G1786">
        <f>7/12</f>
        <v>0.58333333333333337</v>
      </c>
      <c r="H1786">
        <v>300</v>
      </c>
      <c r="I1786">
        <f t="shared" si="1104"/>
        <v>175</v>
      </c>
      <c r="J1786" t="s">
        <v>167</v>
      </c>
      <c r="K1786">
        <v>268</v>
      </c>
      <c r="M1786">
        <f t="shared" si="1115"/>
        <v>156.33333333333334</v>
      </c>
      <c r="N1786">
        <f t="shared" si="1116"/>
        <v>18.666666666666657</v>
      </c>
    </row>
    <row r="1787" spans="1:14" x14ac:dyDescent="0.25">
      <c r="A1787">
        <v>72</v>
      </c>
      <c r="B1787" s="1">
        <v>43959</v>
      </c>
      <c r="C1787" t="s">
        <v>336</v>
      </c>
      <c r="D1787" t="s">
        <v>15</v>
      </c>
      <c r="F1787" t="s">
        <v>97</v>
      </c>
      <c r="G1787">
        <v>2</v>
      </c>
      <c r="H1787">
        <v>280</v>
      </c>
      <c r="I1787">
        <f t="shared" si="1104"/>
        <v>560</v>
      </c>
      <c r="J1787" t="s">
        <v>167</v>
      </c>
      <c r="K1787">
        <v>219</v>
      </c>
      <c r="M1787">
        <f t="shared" si="1115"/>
        <v>438</v>
      </c>
      <c r="N1787">
        <f t="shared" si="1116"/>
        <v>122</v>
      </c>
    </row>
    <row r="1788" spans="1:14" x14ac:dyDescent="0.25">
      <c r="A1788">
        <v>73</v>
      </c>
      <c r="B1788" s="1">
        <v>43959</v>
      </c>
      <c r="C1788" t="s">
        <v>336</v>
      </c>
      <c r="D1788" t="s">
        <v>70</v>
      </c>
      <c r="F1788" t="s">
        <v>227</v>
      </c>
      <c r="G1788">
        <v>1</v>
      </c>
      <c r="H1788">
        <v>1650</v>
      </c>
      <c r="I1788">
        <f t="shared" si="1104"/>
        <v>1650</v>
      </c>
      <c r="J1788" t="s">
        <v>167</v>
      </c>
      <c r="K1788">
        <v>1440</v>
      </c>
      <c r="M1788">
        <f t="shared" si="1115"/>
        <v>1440</v>
      </c>
      <c r="N1788">
        <f t="shared" si="1116"/>
        <v>210</v>
      </c>
    </row>
    <row r="1789" spans="1:14" x14ac:dyDescent="0.25">
      <c r="A1789">
        <v>74</v>
      </c>
      <c r="B1789" s="1">
        <v>43959</v>
      </c>
      <c r="C1789" t="s">
        <v>336</v>
      </c>
      <c r="D1789" t="s">
        <v>70</v>
      </c>
      <c r="F1789" t="s">
        <v>152</v>
      </c>
      <c r="G1789">
        <v>1</v>
      </c>
      <c r="H1789">
        <v>85</v>
      </c>
      <c r="I1789">
        <f t="shared" si="1104"/>
        <v>85</v>
      </c>
      <c r="J1789" t="s">
        <v>163</v>
      </c>
      <c r="K1789">
        <v>70</v>
      </c>
      <c r="M1789">
        <f t="shared" si="1115"/>
        <v>70</v>
      </c>
      <c r="N1789">
        <f t="shared" si="1116"/>
        <v>15</v>
      </c>
    </row>
    <row r="1790" spans="1:14" x14ac:dyDescent="0.25">
      <c r="A1790">
        <v>75</v>
      </c>
      <c r="B1790" s="1">
        <v>43959</v>
      </c>
      <c r="C1790" t="s">
        <v>336</v>
      </c>
      <c r="D1790" t="s">
        <v>15</v>
      </c>
      <c r="F1790" t="s">
        <v>20</v>
      </c>
      <c r="G1790">
        <v>11</v>
      </c>
      <c r="H1790">
        <v>240</v>
      </c>
      <c r="I1790">
        <f t="shared" si="1104"/>
        <v>2640</v>
      </c>
      <c r="J1790" t="s">
        <v>163</v>
      </c>
      <c r="K1790">
        <v>217</v>
      </c>
      <c r="M1790">
        <f t="shared" si="1115"/>
        <v>2387</v>
      </c>
      <c r="N1790">
        <f t="shared" si="1116"/>
        <v>253</v>
      </c>
    </row>
    <row r="1791" spans="1:14" x14ac:dyDescent="0.25">
      <c r="A1791">
        <v>76</v>
      </c>
      <c r="B1791" s="1">
        <v>43959</v>
      </c>
      <c r="C1791" t="s">
        <v>336</v>
      </c>
      <c r="D1791" t="s">
        <v>56</v>
      </c>
      <c r="F1791" t="s">
        <v>267</v>
      </c>
      <c r="G1791">
        <v>4</v>
      </c>
      <c r="H1791">
        <v>170</v>
      </c>
      <c r="I1791">
        <f t="shared" si="1104"/>
        <v>680</v>
      </c>
      <c r="J1791" t="s">
        <v>163</v>
      </c>
      <c r="K1791">
        <v>123</v>
      </c>
      <c r="M1791">
        <f t="shared" si="1115"/>
        <v>492</v>
      </c>
      <c r="N1791">
        <f t="shared" si="1116"/>
        <v>188</v>
      </c>
    </row>
    <row r="1792" spans="1:14" x14ac:dyDescent="0.25">
      <c r="A1792">
        <v>77</v>
      </c>
      <c r="B1792" s="1">
        <v>43959</v>
      </c>
      <c r="C1792" t="s">
        <v>336</v>
      </c>
      <c r="D1792" t="s">
        <v>25</v>
      </c>
      <c r="F1792" t="s">
        <v>203</v>
      </c>
      <c r="G1792">
        <v>2</v>
      </c>
      <c r="H1792">
        <v>100</v>
      </c>
      <c r="I1792">
        <f t="shared" si="1104"/>
        <v>200</v>
      </c>
      <c r="J1792" t="s">
        <v>163</v>
      </c>
      <c r="K1792">
        <v>69</v>
      </c>
      <c r="M1792">
        <f t="shared" si="1115"/>
        <v>138</v>
      </c>
      <c r="N1792">
        <f t="shared" si="1116"/>
        <v>62</v>
      </c>
    </row>
    <row r="1793" spans="1:14" x14ac:dyDescent="0.25">
      <c r="A1793">
        <v>78</v>
      </c>
      <c r="B1793" s="1">
        <v>43959</v>
      </c>
      <c r="C1793" t="s">
        <v>336</v>
      </c>
      <c r="D1793" t="s">
        <v>24</v>
      </c>
      <c r="F1793" t="s">
        <v>24</v>
      </c>
      <c r="G1793">
        <v>2</v>
      </c>
      <c r="H1793">
        <v>100</v>
      </c>
      <c r="I1793">
        <f t="shared" si="1104"/>
        <v>200</v>
      </c>
      <c r="J1793" t="s">
        <v>186</v>
      </c>
      <c r="K1793">
        <v>68.22</v>
      </c>
      <c r="M1793">
        <f t="shared" si="1115"/>
        <v>136.44</v>
      </c>
      <c r="N1793">
        <f t="shared" si="1116"/>
        <v>63.56</v>
      </c>
    </row>
    <row r="1794" spans="1:14" x14ac:dyDescent="0.25">
      <c r="A1794">
        <v>79</v>
      </c>
      <c r="B1794" s="1">
        <v>43959</v>
      </c>
      <c r="C1794" t="s">
        <v>336</v>
      </c>
      <c r="D1794" t="s">
        <v>70</v>
      </c>
      <c r="F1794" t="s">
        <v>151</v>
      </c>
      <c r="G1794">
        <v>1</v>
      </c>
      <c r="H1794">
        <v>1800</v>
      </c>
      <c r="I1794">
        <f t="shared" si="1104"/>
        <v>1800</v>
      </c>
      <c r="J1794" t="s">
        <v>167</v>
      </c>
      <c r="K1794">
        <v>1580</v>
      </c>
      <c r="M1794">
        <f t="shared" si="1115"/>
        <v>1580</v>
      </c>
      <c r="N1794">
        <f t="shared" si="1116"/>
        <v>220</v>
      </c>
    </row>
    <row r="1795" spans="1:14" x14ac:dyDescent="0.25">
      <c r="A1795">
        <v>80</v>
      </c>
      <c r="B1795" s="1">
        <v>43959</v>
      </c>
      <c r="C1795" t="s">
        <v>336</v>
      </c>
      <c r="D1795" t="s">
        <v>78</v>
      </c>
      <c r="F1795" t="s">
        <v>324</v>
      </c>
      <c r="G1795">
        <v>1</v>
      </c>
      <c r="H1795">
        <v>1000</v>
      </c>
      <c r="I1795">
        <f t="shared" si="1104"/>
        <v>1000</v>
      </c>
      <c r="J1795" t="s">
        <v>198</v>
      </c>
      <c r="K1795">
        <v>750</v>
      </c>
      <c r="M1795">
        <f t="shared" si="1115"/>
        <v>750</v>
      </c>
      <c r="N1795">
        <f t="shared" si="1116"/>
        <v>250</v>
      </c>
    </row>
    <row r="1796" spans="1:14" x14ac:dyDescent="0.25">
      <c r="A1796">
        <v>81</v>
      </c>
      <c r="B1796" s="1">
        <v>43959</v>
      </c>
      <c r="C1796" t="s">
        <v>336</v>
      </c>
      <c r="D1796" t="s">
        <v>55</v>
      </c>
      <c r="F1796" t="s">
        <v>39</v>
      </c>
      <c r="G1796">
        <v>1</v>
      </c>
      <c r="H1796">
        <v>300</v>
      </c>
      <c r="I1796">
        <f t="shared" ref="I1796:I1859" si="1117">+G1796*H1796</f>
        <v>300</v>
      </c>
      <c r="J1796" t="s">
        <v>167</v>
      </c>
      <c r="K1796">
        <v>268</v>
      </c>
      <c r="M1796">
        <f t="shared" si="1115"/>
        <v>268</v>
      </c>
      <c r="N1796">
        <f t="shared" si="1116"/>
        <v>32</v>
      </c>
    </row>
    <row r="1797" spans="1:14" x14ac:dyDescent="0.25">
      <c r="A1797">
        <v>82</v>
      </c>
      <c r="B1797" s="1">
        <v>43959</v>
      </c>
      <c r="C1797" t="s">
        <v>336</v>
      </c>
      <c r="D1797" t="s">
        <v>55</v>
      </c>
      <c r="F1797" t="s">
        <v>22</v>
      </c>
      <c r="G1797">
        <v>2</v>
      </c>
      <c r="H1797">
        <v>300</v>
      </c>
      <c r="I1797">
        <f t="shared" si="1117"/>
        <v>600</v>
      </c>
      <c r="J1797" t="s">
        <v>167</v>
      </c>
      <c r="K1797">
        <v>268</v>
      </c>
      <c r="M1797">
        <f t="shared" ref="M1797:M1860" si="1118">+IF(K1797=0,(""),(K1797*G1797))</f>
        <v>536</v>
      </c>
      <c r="N1797">
        <f t="shared" ref="N1797:N1860" si="1119">+IF(K1797=0,(""),(I1797-M1797))</f>
        <v>64</v>
      </c>
    </row>
    <row r="1798" spans="1:14" x14ac:dyDescent="0.25">
      <c r="A1798">
        <v>83</v>
      </c>
      <c r="B1798" s="1">
        <v>43959</v>
      </c>
      <c r="C1798" t="s">
        <v>336</v>
      </c>
      <c r="D1798" t="s">
        <v>15</v>
      </c>
      <c r="F1798" t="s">
        <v>63</v>
      </c>
      <c r="G1798">
        <f>3/9</f>
        <v>0.33333333333333331</v>
      </c>
      <c r="H1798">
        <v>240</v>
      </c>
      <c r="I1798">
        <f t="shared" si="1117"/>
        <v>80</v>
      </c>
      <c r="J1798" t="s">
        <v>163</v>
      </c>
      <c r="K1798">
        <v>205</v>
      </c>
      <c r="M1798">
        <f t="shared" si="1118"/>
        <v>68.333333333333329</v>
      </c>
      <c r="N1798">
        <f t="shared" si="1119"/>
        <v>11.666666666666671</v>
      </c>
    </row>
    <row r="1799" spans="1:14" x14ac:dyDescent="0.25">
      <c r="A1799">
        <v>84</v>
      </c>
      <c r="B1799" s="1">
        <v>43959</v>
      </c>
      <c r="C1799" t="s">
        <v>336</v>
      </c>
      <c r="D1799" t="s">
        <v>15</v>
      </c>
      <c r="F1799" t="s">
        <v>204</v>
      </c>
      <c r="G1799">
        <f>5/9</f>
        <v>0.55555555555555558</v>
      </c>
      <c r="H1799">
        <v>300</v>
      </c>
      <c r="I1799">
        <f t="shared" si="1117"/>
        <v>166.66666666666669</v>
      </c>
      <c r="J1799" t="s">
        <v>167</v>
      </c>
      <c r="K1799">
        <v>268</v>
      </c>
      <c r="M1799">
        <f t="shared" si="1118"/>
        <v>148.88888888888889</v>
      </c>
      <c r="N1799">
        <f t="shared" si="1119"/>
        <v>17.7777777777778</v>
      </c>
    </row>
    <row r="1800" spans="1:14" x14ac:dyDescent="0.25">
      <c r="A1800">
        <v>85</v>
      </c>
      <c r="B1800" s="1">
        <v>43959</v>
      </c>
      <c r="C1800" t="s">
        <v>336</v>
      </c>
      <c r="D1800" t="s">
        <v>15</v>
      </c>
      <c r="F1800" t="s">
        <v>29</v>
      </c>
      <c r="G1800">
        <v>4</v>
      </c>
      <c r="H1800">
        <v>230</v>
      </c>
      <c r="I1800">
        <f t="shared" si="1117"/>
        <v>920</v>
      </c>
      <c r="J1800" t="s">
        <v>163</v>
      </c>
      <c r="K1800">
        <v>198</v>
      </c>
      <c r="M1800">
        <f t="shared" si="1118"/>
        <v>792</v>
      </c>
      <c r="N1800">
        <f t="shared" si="1119"/>
        <v>128</v>
      </c>
    </row>
    <row r="1801" spans="1:14" x14ac:dyDescent="0.25">
      <c r="A1801">
        <v>86</v>
      </c>
      <c r="B1801" s="1">
        <v>43959</v>
      </c>
      <c r="C1801" t="s">
        <v>336</v>
      </c>
      <c r="D1801" t="s">
        <v>56</v>
      </c>
      <c r="F1801" t="s">
        <v>267</v>
      </c>
      <c r="G1801">
        <v>1</v>
      </c>
      <c r="H1801">
        <v>170</v>
      </c>
      <c r="I1801">
        <f t="shared" si="1117"/>
        <v>170</v>
      </c>
      <c r="J1801" t="s">
        <v>163</v>
      </c>
      <c r="K1801">
        <v>123</v>
      </c>
      <c r="M1801">
        <f t="shared" si="1118"/>
        <v>123</v>
      </c>
      <c r="N1801">
        <f t="shared" si="1119"/>
        <v>47</v>
      </c>
    </row>
    <row r="1802" spans="1:14" x14ac:dyDescent="0.25">
      <c r="A1802">
        <v>87</v>
      </c>
      <c r="B1802" s="1">
        <v>43959</v>
      </c>
      <c r="C1802" t="s">
        <v>336</v>
      </c>
      <c r="D1802" t="s">
        <v>85</v>
      </c>
      <c r="F1802" t="s">
        <v>216</v>
      </c>
      <c r="G1802">
        <v>1</v>
      </c>
      <c r="H1802">
        <v>900</v>
      </c>
      <c r="I1802">
        <f t="shared" si="1117"/>
        <v>900</v>
      </c>
      <c r="J1802" t="s">
        <v>167</v>
      </c>
      <c r="K1802">
        <v>480</v>
      </c>
      <c r="M1802">
        <f t="shared" si="1118"/>
        <v>480</v>
      </c>
      <c r="N1802">
        <f t="shared" si="1119"/>
        <v>420</v>
      </c>
    </row>
    <row r="1803" spans="1:14" x14ac:dyDescent="0.25">
      <c r="A1803">
        <v>88</v>
      </c>
      <c r="B1803" s="1">
        <v>43959</v>
      </c>
      <c r="C1803" t="s">
        <v>336</v>
      </c>
      <c r="D1803" t="s">
        <v>85</v>
      </c>
      <c r="F1803" t="s">
        <v>253</v>
      </c>
      <c r="G1803">
        <v>1</v>
      </c>
      <c r="H1803">
        <v>900</v>
      </c>
      <c r="I1803">
        <f t="shared" si="1117"/>
        <v>900</v>
      </c>
      <c r="J1803" t="s">
        <v>167</v>
      </c>
      <c r="K1803">
        <v>395</v>
      </c>
      <c r="M1803">
        <f t="shared" si="1118"/>
        <v>395</v>
      </c>
      <c r="N1803">
        <f t="shared" si="1119"/>
        <v>505</v>
      </c>
    </row>
    <row r="1804" spans="1:14" x14ac:dyDescent="0.25">
      <c r="A1804">
        <v>89</v>
      </c>
      <c r="B1804" s="1">
        <v>43959</v>
      </c>
      <c r="C1804" t="s">
        <v>336</v>
      </c>
      <c r="D1804" t="s">
        <v>85</v>
      </c>
      <c r="F1804" t="s">
        <v>266</v>
      </c>
      <c r="G1804">
        <v>1</v>
      </c>
      <c r="H1804">
        <v>240</v>
      </c>
      <c r="I1804">
        <f t="shared" si="1117"/>
        <v>240</v>
      </c>
      <c r="J1804" t="s">
        <v>166</v>
      </c>
      <c r="M1804" t="str">
        <f t="shared" si="1118"/>
        <v/>
      </c>
      <c r="N1804" t="str">
        <f t="shared" si="1119"/>
        <v/>
      </c>
    </row>
    <row r="1805" spans="1:14" x14ac:dyDescent="0.25">
      <c r="A1805">
        <v>90</v>
      </c>
      <c r="B1805" s="1">
        <v>43960</v>
      </c>
      <c r="C1805" t="s">
        <v>336</v>
      </c>
      <c r="D1805" t="s">
        <v>15</v>
      </c>
      <c r="F1805" t="s">
        <v>20</v>
      </c>
      <c r="G1805">
        <v>10</v>
      </c>
      <c r="H1805">
        <v>240</v>
      </c>
      <c r="I1805">
        <f t="shared" si="1117"/>
        <v>2400</v>
      </c>
      <c r="J1805" t="s">
        <v>163</v>
      </c>
      <c r="K1805">
        <v>217</v>
      </c>
      <c r="M1805">
        <f t="shared" si="1118"/>
        <v>2170</v>
      </c>
      <c r="N1805">
        <f t="shared" si="1119"/>
        <v>230</v>
      </c>
    </row>
    <row r="1806" spans="1:14" x14ac:dyDescent="0.25">
      <c r="A1806">
        <v>91</v>
      </c>
      <c r="B1806" s="1">
        <v>43960</v>
      </c>
      <c r="C1806" t="s">
        <v>336</v>
      </c>
      <c r="D1806" t="s">
        <v>56</v>
      </c>
      <c r="F1806" t="s">
        <v>267</v>
      </c>
      <c r="G1806">
        <v>5</v>
      </c>
      <c r="H1806">
        <v>170</v>
      </c>
      <c r="I1806">
        <f t="shared" si="1117"/>
        <v>850</v>
      </c>
      <c r="J1806" t="s">
        <v>163</v>
      </c>
      <c r="K1806">
        <v>123</v>
      </c>
      <c r="M1806">
        <f t="shared" si="1118"/>
        <v>615</v>
      </c>
      <c r="N1806">
        <f t="shared" si="1119"/>
        <v>235</v>
      </c>
    </row>
    <row r="1807" spans="1:14" x14ac:dyDescent="0.25">
      <c r="A1807">
        <v>92</v>
      </c>
      <c r="B1807" s="1">
        <v>43960</v>
      </c>
      <c r="C1807" t="s">
        <v>336</v>
      </c>
      <c r="D1807" t="s">
        <v>25</v>
      </c>
      <c r="F1807" t="s">
        <v>72</v>
      </c>
      <c r="G1807">
        <v>2</v>
      </c>
      <c r="H1807">
        <v>60</v>
      </c>
      <c r="I1807">
        <f t="shared" si="1117"/>
        <v>120</v>
      </c>
      <c r="J1807" t="s">
        <v>165</v>
      </c>
      <c r="K1807">
        <f t="shared" ref="K1807" si="1120">380/12</f>
        <v>31.666666666666668</v>
      </c>
      <c r="M1807">
        <f t="shared" si="1118"/>
        <v>63.333333333333336</v>
      </c>
      <c r="N1807">
        <f t="shared" si="1119"/>
        <v>56.666666666666664</v>
      </c>
    </row>
    <row r="1808" spans="1:14" x14ac:dyDescent="0.25">
      <c r="A1808">
        <v>93</v>
      </c>
      <c r="B1808" s="1">
        <v>43960</v>
      </c>
      <c r="C1808" t="s">
        <v>336</v>
      </c>
      <c r="D1808" t="s">
        <v>15</v>
      </c>
      <c r="F1808" t="s">
        <v>252</v>
      </c>
      <c r="G1808">
        <f>8/9</f>
        <v>0.88888888888888884</v>
      </c>
      <c r="H1808">
        <v>280</v>
      </c>
      <c r="I1808">
        <f t="shared" si="1117"/>
        <v>248.88888888888889</v>
      </c>
      <c r="J1808" t="s">
        <v>163</v>
      </c>
      <c r="K1808">
        <v>245</v>
      </c>
      <c r="M1808">
        <f t="shared" si="1118"/>
        <v>217.77777777777777</v>
      </c>
      <c r="N1808">
        <f t="shared" si="1119"/>
        <v>31.111111111111114</v>
      </c>
    </row>
    <row r="1809" spans="1:14" x14ac:dyDescent="0.25">
      <c r="A1809">
        <v>94</v>
      </c>
      <c r="B1809" s="1">
        <v>43960</v>
      </c>
      <c r="C1809" t="s">
        <v>336</v>
      </c>
      <c r="D1809" t="s">
        <v>92</v>
      </c>
      <c r="F1809" t="s">
        <v>87</v>
      </c>
      <c r="G1809">
        <v>1</v>
      </c>
      <c r="H1809">
        <v>600</v>
      </c>
      <c r="I1809">
        <f t="shared" si="1117"/>
        <v>600</v>
      </c>
      <c r="J1809" t="s">
        <v>167</v>
      </c>
      <c r="K1809">
        <v>360</v>
      </c>
      <c r="M1809">
        <f t="shared" si="1118"/>
        <v>360</v>
      </c>
      <c r="N1809">
        <f t="shared" si="1119"/>
        <v>240</v>
      </c>
    </row>
    <row r="1810" spans="1:14" x14ac:dyDescent="0.25">
      <c r="A1810">
        <v>95</v>
      </c>
      <c r="B1810" s="1">
        <v>43960</v>
      </c>
      <c r="C1810" t="s">
        <v>336</v>
      </c>
      <c r="D1810" t="s">
        <v>15</v>
      </c>
      <c r="F1810" t="s">
        <v>29</v>
      </c>
      <c r="G1810">
        <v>5</v>
      </c>
      <c r="H1810">
        <v>230</v>
      </c>
      <c r="I1810">
        <f t="shared" si="1117"/>
        <v>1150</v>
      </c>
      <c r="J1810" t="s">
        <v>163</v>
      </c>
      <c r="K1810">
        <v>198</v>
      </c>
      <c r="M1810">
        <f t="shared" si="1118"/>
        <v>990</v>
      </c>
      <c r="N1810">
        <f t="shared" si="1119"/>
        <v>160</v>
      </c>
    </row>
    <row r="1811" spans="1:14" x14ac:dyDescent="0.25">
      <c r="A1811">
        <v>96</v>
      </c>
      <c r="B1811" s="1">
        <v>43960</v>
      </c>
      <c r="C1811" t="s">
        <v>336</v>
      </c>
      <c r="D1811" t="s">
        <v>56</v>
      </c>
      <c r="F1811" t="s">
        <v>267</v>
      </c>
      <c r="G1811">
        <v>2</v>
      </c>
      <c r="H1811">
        <v>170</v>
      </c>
      <c r="I1811">
        <f t="shared" si="1117"/>
        <v>340</v>
      </c>
      <c r="J1811" t="s">
        <v>163</v>
      </c>
      <c r="K1811">
        <v>123</v>
      </c>
      <c r="M1811">
        <f t="shared" si="1118"/>
        <v>246</v>
      </c>
      <c r="N1811">
        <f t="shared" si="1119"/>
        <v>94</v>
      </c>
    </row>
    <row r="1812" spans="1:14" x14ac:dyDescent="0.25">
      <c r="A1812">
        <v>97</v>
      </c>
      <c r="B1812" s="1">
        <v>43960</v>
      </c>
      <c r="C1812" t="s">
        <v>336</v>
      </c>
      <c r="D1812" t="s">
        <v>15</v>
      </c>
      <c r="F1812" t="s">
        <v>29</v>
      </c>
      <c r="G1812">
        <v>25</v>
      </c>
      <c r="H1812">
        <v>230</v>
      </c>
      <c r="I1812">
        <f t="shared" si="1117"/>
        <v>5750</v>
      </c>
      <c r="J1812" t="s">
        <v>163</v>
      </c>
      <c r="K1812">
        <v>198</v>
      </c>
      <c r="M1812">
        <f t="shared" si="1118"/>
        <v>4950</v>
      </c>
      <c r="N1812">
        <f t="shared" si="1119"/>
        <v>800</v>
      </c>
    </row>
    <row r="1813" spans="1:14" x14ac:dyDescent="0.25">
      <c r="A1813">
        <v>98</v>
      </c>
      <c r="B1813" s="1">
        <v>43960</v>
      </c>
      <c r="C1813" t="s">
        <v>336</v>
      </c>
      <c r="D1813" t="s">
        <v>56</v>
      </c>
      <c r="F1813" t="s">
        <v>267</v>
      </c>
      <c r="G1813">
        <v>6</v>
      </c>
      <c r="H1813">
        <v>170</v>
      </c>
      <c r="I1813">
        <f t="shared" si="1117"/>
        <v>1020</v>
      </c>
      <c r="J1813" t="s">
        <v>163</v>
      </c>
      <c r="K1813">
        <v>123</v>
      </c>
      <c r="M1813">
        <f t="shared" si="1118"/>
        <v>738</v>
      </c>
      <c r="N1813">
        <f t="shared" si="1119"/>
        <v>282</v>
      </c>
    </row>
    <row r="1814" spans="1:14" x14ac:dyDescent="0.25">
      <c r="A1814">
        <v>99</v>
      </c>
      <c r="B1814" s="1">
        <v>43960</v>
      </c>
      <c r="C1814" t="s">
        <v>336</v>
      </c>
      <c r="D1814" t="s">
        <v>25</v>
      </c>
      <c r="F1814" t="s">
        <v>127</v>
      </c>
      <c r="G1814">
        <v>3</v>
      </c>
      <c r="H1814">
        <v>60</v>
      </c>
      <c r="I1814">
        <f t="shared" si="1117"/>
        <v>180</v>
      </c>
      <c r="J1814" t="s">
        <v>165</v>
      </c>
      <c r="K1814">
        <f t="shared" ref="K1814" si="1121">380/12</f>
        <v>31.666666666666668</v>
      </c>
      <c r="M1814">
        <f t="shared" si="1118"/>
        <v>95</v>
      </c>
      <c r="N1814">
        <f t="shared" si="1119"/>
        <v>85</v>
      </c>
    </row>
    <row r="1815" spans="1:14" x14ac:dyDescent="0.25">
      <c r="A1815">
        <v>100</v>
      </c>
      <c r="B1815" s="1">
        <v>43965</v>
      </c>
      <c r="C1815" t="s">
        <v>336</v>
      </c>
      <c r="D1815" t="s">
        <v>70</v>
      </c>
      <c r="F1815" t="s">
        <v>340</v>
      </c>
      <c r="G1815">
        <v>1</v>
      </c>
      <c r="H1815">
        <v>400</v>
      </c>
      <c r="I1815">
        <f t="shared" si="1117"/>
        <v>400</v>
      </c>
      <c r="J1815" t="s">
        <v>167</v>
      </c>
      <c r="K1815">
        <v>311</v>
      </c>
      <c r="M1815">
        <f t="shared" si="1118"/>
        <v>311</v>
      </c>
      <c r="N1815">
        <f t="shared" si="1119"/>
        <v>89</v>
      </c>
    </row>
    <row r="1816" spans="1:14" x14ac:dyDescent="0.25">
      <c r="A1816">
        <v>101</v>
      </c>
      <c r="B1816" s="1">
        <v>43965</v>
      </c>
      <c r="C1816" t="s">
        <v>336</v>
      </c>
      <c r="D1816" t="s">
        <v>78</v>
      </c>
      <c r="F1816" t="s">
        <v>341</v>
      </c>
      <c r="G1816">
        <v>1</v>
      </c>
      <c r="H1816">
        <v>90</v>
      </c>
      <c r="I1816">
        <f t="shared" si="1117"/>
        <v>90</v>
      </c>
      <c r="J1816" t="s">
        <v>166</v>
      </c>
      <c r="M1816" t="str">
        <f t="shared" si="1118"/>
        <v/>
      </c>
      <c r="N1816" t="str">
        <f t="shared" si="1119"/>
        <v/>
      </c>
    </row>
    <row r="1817" spans="1:14" x14ac:dyDescent="0.25">
      <c r="A1817">
        <v>102</v>
      </c>
      <c r="B1817" s="1">
        <v>43965</v>
      </c>
      <c r="C1817" t="s">
        <v>336</v>
      </c>
      <c r="D1817" t="s">
        <v>55</v>
      </c>
      <c r="F1817" t="s">
        <v>228</v>
      </c>
      <c r="G1817">
        <v>2</v>
      </c>
      <c r="H1817">
        <v>300</v>
      </c>
      <c r="I1817">
        <f t="shared" si="1117"/>
        <v>600</v>
      </c>
      <c r="J1817" t="s">
        <v>167</v>
      </c>
      <c r="K1817">
        <v>268</v>
      </c>
      <c r="M1817">
        <f t="shared" si="1118"/>
        <v>536</v>
      </c>
      <c r="N1817">
        <f t="shared" si="1119"/>
        <v>64</v>
      </c>
    </row>
    <row r="1818" spans="1:14" x14ac:dyDescent="0.25">
      <c r="A1818">
        <v>103</v>
      </c>
      <c r="B1818" s="1">
        <v>43969</v>
      </c>
      <c r="C1818" t="s">
        <v>336</v>
      </c>
      <c r="D1818" t="s">
        <v>92</v>
      </c>
      <c r="F1818" t="s">
        <v>342</v>
      </c>
      <c r="G1818">
        <v>1</v>
      </c>
      <c r="H1818">
        <v>230</v>
      </c>
      <c r="I1818">
        <f t="shared" si="1117"/>
        <v>230</v>
      </c>
      <c r="J1818" t="s">
        <v>166</v>
      </c>
      <c r="M1818" t="str">
        <f t="shared" si="1118"/>
        <v/>
      </c>
      <c r="N1818" t="str">
        <f t="shared" si="1119"/>
        <v/>
      </c>
    </row>
    <row r="1819" spans="1:14" x14ac:dyDescent="0.25">
      <c r="A1819">
        <v>104</v>
      </c>
      <c r="B1819" s="1">
        <v>43969</v>
      </c>
      <c r="C1819" t="s">
        <v>336</v>
      </c>
      <c r="D1819" t="s">
        <v>70</v>
      </c>
      <c r="F1819" t="s">
        <v>269</v>
      </c>
      <c r="G1819">
        <v>1</v>
      </c>
      <c r="H1819">
        <v>1930</v>
      </c>
      <c r="I1819">
        <f t="shared" si="1117"/>
        <v>1930</v>
      </c>
      <c r="J1819" t="s">
        <v>167</v>
      </c>
      <c r="K1819">
        <v>1655</v>
      </c>
      <c r="M1819">
        <f t="shared" si="1118"/>
        <v>1655</v>
      </c>
      <c r="N1819">
        <f t="shared" si="1119"/>
        <v>275</v>
      </c>
    </row>
    <row r="1820" spans="1:14" x14ac:dyDescent="0.25">
      <c r="A1820">
        <v>105</v>
      </c>
      <c r="B1820" s="1">
        <v>43969</v>
      </c>
      <c r="C1820" t="s">
        <v>336</v>
      </c>
      <c r="D1820" t="s">
        <v>70</v>
      </c>
      <c r="F1820" t="s">
        <v>152</v>
      </c>
      <c r="G1820">
        <v>1</v>
      </c>
      <c r="H1820">
        <v>85</v>
      </c>
      <c r="I1820">
        <f t="shared" si="1117"/>
        <v>85</v>
      </c>
      <c r="J1820" t="s">
        <v>163</v>
      </c>
      <c r="K1820">
        <v>70</v>
      </c>
      <c r="M1820">
        <f t="shared" si="1118"/>
        <v>70</v>
      </c>
      <c r="N1820">
        <f t="shared" si="1119"/>
        <v>15</v>
      </c>
    </row>
    <row r="1821" spans="1:14" x14ac:dyDescent="0.25">
      <c r="A1821">
        <v>106</v>
      </c>
      <c r="B1821" s="1">
        <v>43969</v>
      </c>
      <c r="C1821" t="s">
        <v>336</v>
      </c>
      <c r="D1821" t="s">
        <v>92</v>
      </c>
      <c r="F1821" t="s">
        <v>118</v>
      </c>
      <c r="G1821">
        <v>1</v>
      </c>
      <c r="H1821">
        <v>60</v>
      </c>
      <c r="I1821">
        <f t="shared" si="1117"/>
        <v>60</v>
      </c>
      <c r="J1821" t="s">
        <v>166</v>
      </c>
      <c r="M1821" t="str">
        <f t="shared" si="1118"/>
        <v/>
      </c>
      <c r="N1821" t="str">
        <f t="shared" si="1119"/>
        <v/>
      </c>
    </row>
    <row r="1822" spans="1:14" x14ac:dyDescent="0.25">
      <c r="A1822">
        <v>107</v>
      </c>
      <c r="B1822" s="1">
        <v>43969</v>
      </c>
      <c r="C1822" t="s">
        <v>336</v>
      </c>
      <c r="D1822" t="s">
        <v>15</v>
      </c>
      <c r="F1822" t="s">
        <v>76</v>
      </c>
      <c r="G1822">
        <v>26</v>
      </c>
      <c r="H1822">
        <v>230</v>
      </c>
      <c r="I1822">
        <f t="shared" si="1117"/>
        <v>5980</v>
      </c>
      <c r="J1822" t="s">
        <v>163</v>
      </c>
      <c r="K1822">
        <v>200</v>
      </c>
      <c r="M1822">
        <f t="shared" si="1118"/>
        <v>5200</v>
      </c>
      <c r="N1822">
        <f t="shared" si="1119"/>
        <v>780</v>
      </c>
    </row>
    <row r="1823" spans="1:14" x14ac:dyDescent="0.25">
      <c r="A1823">
        <v>108</v>
      </c>
      <c r="B1823" s="1">
        <v>43969</v>
      </c>
      <c r="C1823" t="s">
        <v>336</v>
      </c>
      <c r="D1823" t="s">
        <v>55</v>
      </c>
      <c r="F1823" t="s">
        <v>89</v>
      </c>
      <c r="G1823">
        <v>4</v>
      </c>
      <c r="H1823">
        <v>290</v>
      </c>
      <c r="I1823">
        <f t="shared" si="1117"/>
        <v>1160</v>
      </c>
      <c r="J1823" t="s">
        <v>167</v>
      </c>
      <c r="K1823">
        <v>268</v>
      </c>
      <c r="M1823">
        <f t="shared" si="1118"/>
        <v>1072</v>
      </c>
      <c r="N1823">
        <f t="shared" si="1119"/>
        <v>88</v>
      </c>
    </row>
    <row r="1824" spans="1:14" x14ac:dyDescent="0.25">
      <c r="A1824">
        <v>109</v>
      </c>
      <c r="B1824" s="1">
        <v>43969</v>
      </c>
      <c r="C1824" t="s">
        <v>336</v>
      </c>
      <c r="D1824" t="s">
        <v>25</v>
      </c>
      <c r="F1824" t="s">
        <v>127</v>
      </c>
      <c r="G1824">
        <v>15</v>
      </c>
      <c r="H1824">
        <v>50</v>
      </c>
      <c r="I1824">
        <f t="shared" si="1117"/>
        <v>750</v>
      </c>
      <c r="J1824" t="s">
        <v>165</v>
      </c>
      <c r="K1824">
        <f t="shared" ref="K1824" si="1122">380/12</f>
        <v>31.666666666666668</v>
      </c>
      <c r="M1824">
        <f t="shared" si="1118"/>
        <v>475</v>
      </c>
      <c r="N1824">
        <f t="shared" si="1119"/>
        <v>275</v>
      </c>
    </row>
    <row r="1825" spans="1:14" x14ac:dyDescent="0.25">
      <c r="A1825">
        <v>110</v>
      </c>
      <c r="B1825" s="1">
        <v>43969</v>
      </c>
      <c r="C1825" t="s">
        <v>336</v>
      </c>
      <c r="D1825" t="s">
        <v>23</v>
      </c>
      <c r="F1825" t="s">
        <v>215</v>
      </c>
      <c r="G1825">
        <v>5</v>
      </c>
      <c r="H1825">
        <v>35</v>
      </c>
      <c r="I1825">
        <f t="shared" si="1117"/>
        <v>175</v>
      </c>
      <c r="J1825" t="s">
        <v>187</v>
      </c>
      <c r="K1825">
        <v>26</v>
      </c>
      <c r="M1825">
        <f t="shared" si="1118"/>
        <v>130</v>
      </c>
      <c r="N1825">
        <f t="shared" si="1119"/>
        <v>45</v>
      </c>
    </row>
    <row r="1826" spans="1:14" x14ac:dyDescent="0.25">
      <c r="A1826">
        <v>111</v>
      </c>
      <c r="B1826" s="1">
        <v>43969</v>
      </c>
      <c r="C1826" t="s">
        <v>336</v>
      </c>
      <c r="D1826" t="s">
        <v>56</v>
      </c>
      <c r="F1826" t="s">
        <v>267</v>
      </c>
      <c r="G1826">
        <v>2</v>
      </c>
      <c r="H1826">
        <v>170</v>
      </c>
      <c r="I1826">
        <f t="shared" si="1117"/>
        <v>340</v>
      </c>
      <c r="J1826" t="s">
        <v>163</v>
      </c>
      <c r="K1826">
        <v>123</v>
      </c>
      <c r="M1826">
        <f t="shared" si="1118"/>
        <v>246</v>
      </c>
      <c r="N1826">
        <f t="shared" si="1119"/>
        <v>94</v>
      </c>
    </row>
    <row r="1827" spans="1:14" x14ac:dyDescent="0.25">
      <c r="A1827">
        <v>112</v>
      </c>
      <c r="B1827" s="1">
        <v>43969</v>
      </c>
      <c r="C1827" t="s">
        <v>336</v>
      </c>
      <c r="D1827" t="s">
        <v>55</v>
      </c>
      <c r="F1827" t="s">
        <v>97</v>
      </c>
      <c r="G1827">
        <v>0.5</v>
      </c>
      <c r="H1827">
        <v>280</v>
      </c>
      <c r="I1827">
        <f t="shared" si="1117"/>
        <v>140</v>
      </c>
      <c r="J1827" t="s">
        <v>167</v>
      </c>
      <c r="K1827">
        <v>207</v>
      </c>
      <c r="M1827">
        <f t="shared" si="1118"/>
        <v>103.5</v>
      </c>
      <c r="N1827">
        <f t="shared" si="1119"/>
        <v>36.5</v>
      </c>
    </row>
    <row r="1828" spans="1:14" x14ac:dyDescent="0.25">
      <c r="A1828">
        <v>113</v>
      </c>
      <c r="B1828" s="1">
        <v>43969</v>
      </c>
      <c r="C1828" t="s">
        <v>336</v>
      </c>
      <c r="D1828" t="s">
        <v>15</v>
      </c>
      <c r="F1828" t="s">
        <v>17</v>
      </c>
      <c r="G1828">
        <f>2/4.9</f>
        <v>0.4081632653061224</v>
      </c>
      <c r="H1828">
        <v>360</v>
      </c>
      <c r="I1828">
        <f t="shared" si="1117"/>
        <v>146.93877551020407</v>
      </c>
      <c r="J1828" t="s">
        <v>167</v>
      </c>
      <c r="K1828">
        <v>306</v>
      </c>
      <c r="M1828">
        <f t="shared" si="1118"/>
        <v>124.89795918367345</v>
      </c>
      <c r="N1828">
        <f t="shared" si="1119"/>
        <v>22.040816326530617</v>
      </c>
    </row>
    <row r="1829" spans="1:14" x14ac:dyDescent="0.25">
      <c r="A1829">
        <v>114</v>
      </c>
      <c r="B1829" s="1">
        <v>43969</v>
      </c>
      <c r="C1829" t="s">
        <v>336</v>
      </c>
      <c r="D1829" t="s">
        <v>15</v>
      </c>
      <c r="F1829" t="s">
        <v>29</v>
      </c>
      <c r="G1829">
        <v>52</v>
      </c>
      <c r="H1829">
        <v>225</v>
      </c>
      <c r="I1829">
        <f t="shared" si="1117"/>
        <v>11700</v>
      </c>
      <c r="J1829" t="s">
        <v>163</v>
      </c>
      <c r="K1829">
        <v>198</v>
      </c>
      <c r="M1829">
        <f t="shared" si="1118"/>
        <v>10296</v>
      </c>
      <c r="N1829">
        <f t="shared" si="1119"/>
        <v>1404</v>
      </c>
    </row>
    <row r="1830" spans="1:14" x14ac:dyDescent="0.25">
      <c r="A1830">
        <v>115</v>
      </c>
      <c r="B1830" s="1">
        <v>43969</v>
      </c>
      <c r="C1830" t="s">
        <v>336</v>
      </c>
      <c r="D1830" t="s">
        <v>55</v>
      </c>
      <c r="F1830" t="s">
        <v>313</v>
      </c>
      <c r="G1830">
        <v>10</v>
      </c>
      <c r="H1830">
        <v>270</v>
      </c>
      <c r="I1830">
        <f t="shared" si="1117"/>
        <v>2700</v>
      </c>
      <c r="J1830" t="s">
        <v>167</v>
      </c>
      <c r="K1830">
        <v>207</v>
      </c>
      <c r="M1830">
        <f t="shared" si="1118"/>
        <v>2070</v>
      </c>
      <c r="N1830">
        <f t="shared" si="1119"/>
        <v>630</v>
      </c>
    </row>
    <row r="1831" spans="1:14" x14ac:dyDescent="0.25">
      <c r="A1831">
        <v>116</v>
      </c>
      <c r="B1831" s="1">
        <v>43969</v>
      </c>
      <c r="C1831" t="s">
        <v>336</v>
      </c>
      <c r="D1831" t="s">
        <v>15</v>
      </c>
      <c r="F1831" t="s">
        <v>343</v>
      </c>
      <c r="G1831">
        <v>1.5</v>
      </c>
      <c r="H1831">
        <v>270</v>
      </c>
      <c r="I1831">
        <f t="shared" si="1117"/>
        <v>405</v>
      </c>
      <c r="J1831" t="s">
        <v>167</v>
      </c>
      <c r="K1831">
        <v>219</v>
      </c>
      <c r="M1831">
        <f t="shared" si="1118"/>
        <v>328.5</v>
      </c>
      <c r="N1831">
        <f t="shared" si="1119"/>
        <v>76.5</v>
      </c>
    </row>
    <row r="1832" spans="1:14" x14ac:dyDescent="0.25">
      <c r="A1832">
        <v>117</v>
      </c>
      <c r="B1832" s="1">
        <v>43969</v>
      </c>
      <c r="C1832" t="s">
        <v>336</v>
      </c>
      <c r="D1832" t="s">
        <v>56</v>
      </c>
      <c r="F1832" t="s">
        <v>267</v>
      </c>
      <c r="G1832">
        <v>21</v>
      </c>
      <c r="H1832">
        <v>160</v>
      </c>
      <c r="I1832">
        <f t="shared" si="1117"/>
        <v>3360</v>
      </c>
      <c r="J1832" t="s">
        <v>163</v>
      </c>
      <c r="K1832">
        <v>123</v>
      </c>
      <c r="M1832">
        <f t="shared" si="1118"/>
        <v>2583</v>
      </c>
      <c r="N1832">
        <f t="shared" si="1119"/>
        <v>777</v>
      </c>
    </row>
    <row r="1833" spans="1:14" x14ac:dyDescent="0.25">
      <c r="A1833">
        <v>118</v>
      </c>
      <c r="B1833" s="1">
        <v>43969</v>
      </c>
      <c r="C1833" t="s">
        <v>336</v>
      </c>
      <c r="D1833" t="s">
        <v>78</v>
      </c>
      <c r="F1833" t="s">
        <v>207</v>
      </c>
      <c r="G1833">
        <v>1</v>
      </c>
      <c r="H1833">
        <v>980</v>
      </c>
      <c r="I1833">
        <f t="shared" si="1117"/>
        <v>980</v>
      </c>
      <c r="J1833" t="s">
        <v>198</v>
      </c>
      <c r="M1833" t="str">
        <f t="shared" si="1118"/>
        <v/>
      </c>
      <c r="N1833" t="str">
        <f t="shared" si="1119"/>
        <v/>
      </c>
    </row>
    <row r="1834" spans="1:14" x14ac:dyDescent="0.25">
      <c r="A1834">
        <v>119</v>
      </c>
      <c r="B1834" s="1">
        <v>43969</v>
      </c>
      <c r="C1834" t="s">
        <v>336</v>
      </c>
      <c r="D1834" t="s">
        <v>78</v>
      </c>
      <c r="F1834" t="s">
        <v>266</v>
      </c>
      <c r="G1834">
        <v>1</v>
      </c>
      <c r="H1834">
        <v>820</v>
      </c>
      <c r="I1834">
        <f t="shared" si="1117"/>
        <v>820</v>
      </c>
      <c r="J1834" t="s">
        <v>166</v>
      </c>
      <c r="M1834" t="str">
        <f t="shared" si="1118"/>
        <v/>
      </c>
      <c r="N1834" t="str">
        <f t="shared" si="1119"/>
        <v/>
      </c>
    </row>
    <row r="1835" spans="1:14" x14ac:dyDescent="0.25">
      <c r="A1835">
        <v>120</v>
      </c>
      <c r="B1835" s="1">
        <v>43970</v>
      </c>
      <c r="C1835" t="s">
        <v>336</v>
      </c>
      <c r="D1835" t="s">
        <v>15</v>
      </c>
      <c r="F1835" t="s">
        <v>63</v>
      </c>
      <c r="G1835">
        <v>4</v>
      </c>
      <c r="H1835">
        <v>240</v>
      </c>
      <c r="I1835">
        <f t="shared" si="1117"/>
        <v>960</v>
      </c>
      <c r="J1835" t="s">
        <v>163</v>
      </c>
      <c r="K1835">
        <v>205</v>
      </c>
      <c r="M1835">
        <f t="shared" si="1118"/>
        <v>820</v>
      </c>
      <c r="N1835">
        <f t="shared" si="1119"/>
        <v>140</v>
      </c>
    </row>
    <row r="1836" spans="1:14" x14ac:dyDescent="0.25">
      <c r="A1836">
        <v>121</v>
      </c>
      <c r="B1836" s="1">
        <v>43970</v>
      </c>
      <c r="C1836" t="s">
        <v>336</v>
      </c>
      <c r="D1836" t="s">
        <v>55</v>
      </c>
      <c r="F1836" t="s">
        <v>270</v>
      </c>
      <c r="G1836">
        <f>2/17</f>
        <v>0.11764705882352941</v>
      </c>
      <c r="H1836">
        <v>300</v>
      </c>
      <c r="I1836">
        <f t="shared" si="1117"/>
        <v>35.294117647058826</v>
      </c>
      <c r="J1836" t="s">
        <v>167</v>
      </c>
      <c r="K1836">
        <v>268</v>
      </c>
      <c r="M1836">
        <f t="shared" si="1118"/>
        <v>31.52941176470588</v>
      </c>
      <c r="N1836">
        <f t="shared" si="1119"/>
        <v>3.7647058823529456</v>
      </c>
    </row>
    <row r="1837" spans="1:14" x14ac:dyDescent="0.25">
      <c r="A1837">
        <v>122</v>
      </c>
      <c r="B1837" s="1">
        <v>43970</v>
      </c>
      <c r="C1837" t="s">
        <v>336</v>
      </c>
      <c r="D1837" t="s">
        <v>85</v>
      </c>
      <c r="F1837" t="s">
        <v>84</v>
      </c>
      <c r="G1837">
        <v>1</v>
      </c>
      <c r="H1837">
        <v>80</v>
      </c>
      <c r="I1837">
        <f t="shared" si="1117"/>
        <v>80</v>
      </c>
      <c r="J1837" t="s">
        <v>166</v>
      </c>
      <c r="M1837" t="str">
        <f t="shared" si="1118"/>
        <v/>
      </c>
      <c r="N1837" t="str">
        <f t="shared" si="1119"/>
        <v/>
      </c>
    </row>
    <row r="1838" spans="1:14" x14ac:dyDescent="0.25">
      <c r="A1838">
        <v>123</v>
      </c>
      <c r="B1838" s="1">
        <v>43970</v>
      </c>
      <c r="C1838" t="s">
        <v>336</v>
      </c>
      <c r="D1838" t="s">
        <v>15</v>
      </c>
      <c r="F1838" t="s">
        <v>63</v>
      </c>
      <c r="G1838">
        <f>23/9</f>
        <v>2.5555555555555554</v>
      </c>
      <c r="H1838">
        <v>240</v>
      </c>
      <c r="I1838">
        <f t="shared" si="1117"/>
        <v>613.33333333333326</v>
      </c>
      <c r="J1838" t="s">
        <v>163</v>
      </c>
      <c r="K1838">
        <v>205</v>
      </c>
      <c r="M1838">
        <f t="shared" si="1118"/>
        <v>523.8888888888888</v>
      </c>
      <c r="N1838">
        <f t="shared" si="1119"/>
        <v>89.444444444444457</v>
      </c>
    </row>
    <row r="1839" spans="1:14" x14ac:dyDescent="0.25">
      <c r="A1839">
        <v>124</v>
      </c>
      <c r="B1839" s="1">
        <v>43970</v>
      </c>
      <c r="C1839" t="s">
        <v>336</v>
      </c>
      <c r="D1839" t="s">
        <v>56</v>
      </c>
      <c r="F1839" t="s">
        <v>267</v>
      </c>
      <c r="G1839">
        <v>1</v>
      </c>
      <c r="H1839">
        <v>170</v>
      </c>
      <c r="I1839">
        <f t="shared" si="1117"/>
        <v>170</v>
      </c>
      <c r="J1839" t="s">
        <v>163</v>
      </c>
      <c r="K1839">
        <v>123</v>
      </c>
      <c r="M1839">
        <f t="shared" si="1118"/>
        <v>123</v>
      </c>
      <c r="N1839">
        <f t="shared" si="1119"/>
        <v>47</v>
      </c>
    </row>
    <row r="1840" spans="1:14" x14ac:dyDescent="0.25">
      <c r="A1840">
        <v>125</v>
      </c>
      <c r="B1840" s="1">
        <v>43971</v>
      </c>
      <c r="C1840" t="s">
        <v>336</v>
      </c>
      <c r="D1840" t="s">
        <v>56</v>
      </c>
      <c r="F1840" t="s">
        <v>333</v>
      </c>
      <c r="G1840">
        <v>2</v>
      </c>
      <c r="H1840">
        <v>110</v>
      </c>
      <c r="I1840">
        <f t="shared" si="1117"/>
        <v>220</v>
      </c>
      <c r="J1840" t="s">
        <v>164</v>
      </c>
      <c r="K1840">
        <v>70</v>
      </c>
      <c r="M1840">
        <f t="shared" si="1118"/>
        <v>140</v>
      </c>
      <c r="N1840">
        <f t="shared" si="1119"/>
        <v>80</v>
      </c>
    </row>
    <row r="1841" spans="1:14" x14ac:dyDescent="0.25">
      <c r="A1841">
        <v>126</v>
      </c>
      <c r="B1841" s="1">
        <v>43971</v>
      </c>
      <c r="C1841" t="s">
        <v>336</v>
      </c>
      <c r="D1841" t="s">
        <v>25</v>
      </c>
      <c r="F1841" t="s">
        <v>130</v>
      </c>
      <c r="G1841">
        <v>1</v>
      </c>
      <c r="H1841">
        <v>60</v>
      </c>
      <c r="I1841">
        <f t="shared" si="1117"/>
        <v>60</v>
      </c>
      <c r="J1841" t="s">
        <v>165</v>
      </c>
      <c r="K1841">
        <f t="shared" ref="K1841" si="1123">380/12</f>
        <v>31.666666666666668</v>
      </c>
      <c r="M1841">
        <f t="shared" si="1118"/>
        <v>31.666666666666668</v>
      </c>
      <c r="N1841">
        <f t="shared" si="1119"/>
        <v>28.333333333333332</v>
      </c>
    </row>
    <row r="1842" spans="1:14" x14ac:dyDescent="0.25">
      <c r="A1842">
        <v>127</v>
      </c>
      <c r="B1842" s="1">
        <v>43971</v>
      </c>
      <c r="C1842" t="s">
        <v>336</v>
      </c>
      <c r="D1842" t="s">
        <v>15</v>
      </c>
      <c r="F1842" t="s">
        <v>63</v>
      </c>
      <c r="G1842">
        <v>12</v>
      </c>
      <c r="H1842">
        <v>240</v>
      </c>
      <c r="I1842">
        <f t="shared" si="1117"/>
        <v>2880</v>
      </c>
      <c r="J1842" t="s">
        <v>163</v>
      </c>
      <c r="K1842">
        <v>205</v>
      </c>
      <c r="M1842">
        <f t="shared" si="1118"/>
        <v>2460</v>
      </c>
      <c r="N1842">
        <f t="shared" si="1119"/>
        <v>420</v>
      </c>
    </row>
    <row r="1843" spans="1:14" x14ac:dyDescent="0.25">
      <c r="A1843">
        <v>128</v>
      </c>
      <c r="B1843" s="1">
        <v>43971</v>
      </c>
      <c r="C1843" t="s">
        <v>336</v>
      </c>
      <c r="D1843" t="s">
        <v>44</v>
      </c>
      <c r="F1843" t="s">
        <v>77</v>
      </c>
      <c r="G1843">
        <v>1</v>
      </c>
      <c r="H1843">
        <v>35</v>
      </c>
      <c r="I1843">
        <f t="shared" si="1117"/>
        <v>35</v>
      </c>
      <c r="J1843" t="s">
        <v>166</v>
      </c>
      <c r="K1843">
        <v>26</v>
      </c>
      <c r="M1843">
        <f t="shared" si="1118"/>
        <v>26</v>
      </c>
      <c r="N1843">
        <f t="shared" si="1119"/>
        <v>9</v>
      </c>
    </row>
    <row r="1844" spans="1:14" x14ac:dyDescent="0.25">
      <c r="A1844">
        <v>129</v>
      </c>
      <c r="B1844" s="1">
        <v>43972</v>
      </c>
      <c r="C1844" t="s">
        <v>336</v>
      </c>
      <c r="D1844" t="s">
        <v>15</v>
      </c>
      <c r="F1844" t="s">
        <v>63</v>
      </c>
      <c r="G1844">
        <v>3.06</v>
      </c>
      <c r="H1844">
        <v>240</v>
      </c>
      <c r="I1844">
        <f t="shared" si="1117"/>
        <v>734.4</v>
      </c>
      <c r="J1844" t="s">
        <v>163</v>
      </c>
      <c r="K1844">
        <v>205</v>
      </c>
      <c r="M1844">
        <f t="shared" si="1118"/>
        <v>627.29999999999995</v>
      </c>
      <c r="N1844">
        <f t="shared" si="1119"/>
        <v>107.10000000000002</v>
      </c>
    </row>
    <row r="1845" spans="1:14" x14ac:dyDescent="0.25">
      <c r="A1845">
        <v>130</v>
      </c>
      <c r="B1845" s="1">
        <v>43972</v>
      </c>
      <c r="C1845" t="s">
        <v>336</v>
      </c>
      <c r="D1845" t="s">
        <v>15</v>
      </c>
      <c r="F1845" t="s">
        <v>344</v>
      </c>
      <c r="G1845">
        <v>2</v>
      </c>
      <c r="H1845">
        <v>80</v>
      </c>
      <c r="I1845">
        <f t="shared" si="1117"/>
        <v>160</v>
      </c>
      <c r="J1845" t="s">
        <v>163</v>
      </c>
      <c r="K1845">
        <v>0</v>
      </c>
      <c r="M1845" t="str">
        <f t="shared" si="1118"/>
        <v/>
      </c>
      <c r="N1845" t="str">
        <f t="shared" si="1119"/>
        <v/>
      </c>
    </row>
    <row r="1846" spans="1:14" x14ac:dyDescent="0.25">
      <c r="A1846">
        <v>131</v>
      </c>
      <c r="B1846" s="1">
        <v>43972</v>
      </c>
      <c r="C1846" t="s">
        <v>336</v>
      </c>
      <c r="D1846" t="s">
        <v>15</v>
      </c>
      <c r="F1846" t="s">
        <v>20</v>
      </c>
      <c r="G1846">
        <v>36</v>
      </c>
      <c r="H1846">
        <v>240</v>
      </c>
      <c r="I1846">
        <f t="shared" si="1117"/>
        <v>8640</v>
      </c>
      <c r="J1846" t="s">
        <v>163</v>
      </c>
      <c r="K1846">
        <v>217</v>
      </c>
      <c r="M1846">
        <f t="shared" si="1118"/>
        <v>7812</v>
      </c>
      <c r="N1846">
        <f t="shared" si="1119"/>
        <v>828</v>
      </c>
    </row>
    <row r="1847" spans="1:14" x14ac:dyDescent="0.25">
      <c r="A1847">
        <v>132</v>
      </c>
      <c r="B1847" s="1">
        <v>43972</v>
      </c>
      <c r="C1847" t="s">
        <v>336</v>
      </c>
      <c r="D1847" t="s">
        <v>55</v>
      </c>
      <c r="F1847" t="s">
        <v>89</v>
      </c>
      <c r="G1847">
        <v>3</v>
      </c>
      <c r="H1847">
        <v>300</v>
      </c>
      <c r="I1847">
        <f t="shared" si="1117"/>
        <v>900</v>
      </c>
      <c r="J1847" t="s">
        <v>167</v>
      </c>
      <c r="K1847">
        <v>268</v>
      </c>
      <c r="M1847">
        <f t="shared" si="1118"/>
        <v>804</v>
      </c>
      <c r="N1847">
        <f t="shared" si="1119"/>
        <v>96</v>
      </c>
    </row>
    <row r="1848" spans="1:14" x14ac:dyDescent="0.25">
      <c r="A1848">
        <v>133</v>
      </c>
      <c r="B1848" s="1">
        <v>43972</v>
      </c>
      <c r="C1848" t="s">
        <v>336</v>
      </c>
      <c r="D1848" t="s">
        <v>44</v>
      </c>
      <c r="F1848" t="s">
        <v>138</v>
      </c>
      <c r="G1848">
        <v>1</v>
      </c>
      <c r="H1848">
        <v>35</v>
      </c>
      <c r="I1848">
        <f t="shared" si="1117"/>
        <v>35</v>
      </c>
      <c r="J1848" t="s">
        <v>166</v>
      </c>
      <c r="K1848">
        <v>26</v>
      </c>
      <c r="M1848">
        <f t="shared" si="1118"/>
        <v>26</v>
      </c>
      <c r="N1848">
        <f t="shared" si="1119"/>
        <v>9</v>
      </c>
    </row>
    <row r="1849" spans="1:14" x14ac:dyDescent="0.25">
      <c r="A1849">
        <v>134</v>
      </c>
      <c r="B1849" s="1">
        <v>43972</v>
      </c>
      <c r="C1849" t="s">
        <v>336</v>
      </c>
      <c r="D1849" t="s">
        <v>25</v>
      </c>
      <c r="F1849" t="s">
        <v>58</v>
      </c>
      <c r="G1849">
        <v>1</v>
      </c>
      <c r="H1849">
        <v>60</v>
      </c>
      <c r="I1849">
        <f t="shared" si="1117"/>
        <v>60</v>
      </c>
      <c r="J1849" t="s">
        <v>165</v>
      </c>
      <c r="K1849">
        <f t="shared" ref="K1849" si="1124">380/12</f>
        <v>31.666666666666668</v>
      </c>
      <c r="M1849">
        <f t="shared" si="1118"/>
        <v>31.666666666666668</v>
      </c>
      <c r="N1849">
        <f t="shared" si="1119"/>
        <v>28.333333333333332</v>
      </c>
    </row>
    <row r="1850" spans="1:14" x14ac:dyDescent="0.25">
      <c r="A1850">
        <v>135</v>
      </c>
      <c r="B1850" s="1">
        <v>43972</v>
      </c>
      <c r="C1850" t="s">
        <v>336</v>
      </c>
      <c r="D1850" t="s">
        <v>56</v>
      </c>
      <c r="F1850" t="s">
        <v>267</v>
      </c>
      <c r="G1850">
        <v>1</v>
      </c>
      <c r="H1850">
        <v>170</v>
      </c>
      <c r="I1850">
        <f t="shared" si="1117"/>
        <v>170</v>
      </c>
      <c r="J1850" t="s">
        <v>163</v>
      </c>
      <c r="K1850">
        <v>123</v>
      </c>
      <c r="M1850">
        <f t="shared" si="1118"/>
        <v>123</v>
      </c>
      <c r="N1850">
        <f t="shared" si="1119"/>
        <v>47</v>
      </c>
    </row>
    <row r="1851" spans="1:14" x14ac:dyDescent="0.25">
      <c r="A1851">
        <v>136</v>
      </c>
      <c r="B1851" s="1">
        <v>43973</v>
      </c>
      <c r="C1851" t="s">
        <v>336</v>
      </c>
      <c r="D1851" t="s">
        <v>70</v>
      </c>
      <c r="F1851" t="s">
        <v>227</v>
      </c>
      <c r="G1851">
        <v>1</v>
      </c>
      <c r="H1851">
        <v>1650</v>
      </c>
      <c r="I1851">
        <f t="shared" si="1117"/>
        <v>1650</v>
      </c>
      <c r="J1851" t="s">
        <v>167</v>
      </c>
      <c r="K1851">
        <v>1440</v>
      </c>
      <c r="M1851">
        <f t="shared" si="1118"/>
        <v>1440</v>
      </c>
      <c r="N1851">
        <f t="shared" si="1119"/>
        <v>210</v>
      </c>
    </row>
    <row r="1852" spans="1:14" x14ac:dyDescent="0.25">
      <c r="A1852">
        <v>137</v>
      </c>
      <c r="B1852" s="1">
        <v>43973</v>
      </c>
      <c r="C1852" t="s">
        <v>336</v>
      </c>
      <c r="D1852" t="s">
        <v>70</v>
      </c>
      <c r="F1852" t="s">
        <v>227</v>
      </c>
      <c r="G1852">
        <v>1</v>
      </c>
      <c r="H1852">
        <v>1650</v>
      </c>
      <c r="I1852">
        <f t="shared" si="1117"/>
        <v>1650</v>
      </c>
      <c r="J1852" t="s">
        <v>167</v>
      </c>
      <c r="K1852">
        <v>1440</v>
      </c>
      <c r="M1852">
        <f t="shared" si="1118"/>
        <v>1440</v>
      </c>
      <c r="N1852">
        <f t="shared" si="1119"/>
        <v>210</v>
      </c>
    </row>
    <row r="1853" spans="1:14" x14ac:dyDescent="0.25">
      <c r="A1853">
        <v>138</v>
      </c>
      <c r="B1853" s="1">
        <v>43973</v>
      </c>
      <c r="C1853" t="s">
        <v>336</v>
      </c>
      <c r="D1853" t="s">
        <v>78</v>
      </c>
      <c r="F1853" t="s">
        <v>79</v>
      </c>
      <c r="G1853">
        <v>1</v>
      </c>
      <c r="H1853">
        <v>1550</v>
      </c>
      <c r="I1853">
        <f t="shared" si="1117"/>
        <v>1550</v>
      </c>
      <c r="J1853" t="s">
        <v>167</v>
      </c>
      <c r="K1853">
        <v>1330</v>
      </c>
      <c r="M1853">
        <f t="shared" si="1118"/>
        <v>1330</v>
      </c>
      <c r="N1853">
        <f t="shared" si="1119"/>
        <v>220</v>
      </c>
    </row>
    <row r="1854" spans="1:14" x14ac:dyDescent="0.25">
      <c r="A1854">
        <v>139</v>
      </c>
      <c r="B1854" s="1">
        <v>43973</v>
      </c>
      <c r="C1854" t="s">
        <v>336</v>
      </c>
      <c r="D1854" t="s">
        <v>78</v>
      </c>
      <c r="F1854" t="s">
        <v>124</v>
      </c>
      <c r="G1854">
        <v>1</v>
      </c>
      <c r="H1854">
        <v>90</v>
      </c>
      <c r="I1854">
        <f t="shared" si="1117"/>
        <v>90</v>
      </c>
      <c r="J1854" t="s">
        <v>166</v>
      </c>
      <c r="M1854" t="str">
        <f t="shared" si="1118"/>
        <v/>
      </c>
      <c r="N1854" t="str">
        <f t="shared" si="1119"/>
        <v/>
      </c>
    </row>
    <row r="1855" spans="1:14" x14ac:dyDescent="0.25">
      <c r="A1855">
        <v>140</v>
      </c>
      <c r="B1855" s="1">
        <v>43973</v>
      </c>
      <c r="C1855" t="s">
        <v>336</v>
      </c>
      <c r="D1855" t="s">
        <v>78</v>
      </c>
      <c r="F1855" t="s">
        <v>245</v>
      </c>
      <c r="G1855">
        <v>1</v>
      </c>
      <c r="H1855">
        <v>70</v>
      </c>
      <c r="I1855">
        <f t="shared" si="1117"/>
        <v>70</v>
      </c>
      <c r="J1855" t="s">
        <v>166</v>
      </c>
      <c r="M1855" t="str">
        <f t="shared" si="1118"/>
        <v/>
      </c>
      <c r="N1855" t="str">
        <f t="shared" si="1119"/>
        <v/>
      </c>
    </row>
    <row r="1856" spans="1:14" x14ac:dyDescent="0.25">
      <c r="A1856">
        <v>141</v>
      </c>
      <c r="B1856" s="1">
        <v>43974</v>
      </c>
      <c r="C1856" t="s">
        <v>336</v>
      </c>
      <c r="D1856" t="s">
        <v>15</v>
      </c>
      <c r="F1856" t="s">
        <v>63</v>
      </c>
      <c r="G1856">
        <v>1.5</v>
      </c>
      <c r="H1856">
        <v>240</v>
      </c>
      <c r="I1856">
        <f t="shared" si="1117"/>
        <v>360</v>
      </c>
      <c r="J1856" t="s">
        <v>163</v>
      </c>
      <c r="K1856">
        <v>205</v>
      </c>
      <c r="M1856">
        <f t="shared" si="1118"/>
        <v>307.5</v>
      </c>
      <c r="N1856">
        <f t="shared" si="1119"/>
        <v>52.5</v>
      </c>
    </row>
    <row r="1857" spans="1:14" x14ac:dyDescent="0.25">
      <c r="A1857">
        <v>142</v>
      </c>
      <c r="B1857" s="1">
        <v>43974</v>
      </c>
      <c r="C1857" t="s">
        <v>336</v>
      </c>
      <c r="D1857" t="s">
        <v>25</v>
      </c>
      <c r="F1857" t="s">
        <v>60</v>
      </c>
      <c r="G1857">
        <v>1</v>
      </c>
      <c r="H1857">
        <v>60</v>
      </c>
      <c r="I1857">
        <f t="shared" si="1117"/>
        <v>60</v>
      </c>
      <c r="J1857" t="s">
        <v>165</v>
      </c>
      <c r="K1857">
        <f t="shared" ref="K1857:K1858" si="1125">380/12</f>
        <v>31.666666666666668</v>
      </c>
      <c r="M1857">
        <f t="shared" si="1118"/>
        <v>31.666666666666668</v>
      </c>
      <c r="N1857">
        <f t="shared" si="1119"/>
        <v>28.333333333333332</v>
      </c>
    </row>
    <row r="1858" spans="1:14" x14ac:dyDescent="0.25">
      <c r="A1858">
        <v>143</v>
      </c>
      <c r="B1858" s="1">
        <v>43974</v>
      </c>
      <c r="C1858" t="s">
        <v>336</v>
      </c>
      <c r="D1858" t="s">
        <v>25</v>
      </c>
      <c r="F1858" t="s">
        <v>72</v>
      </c>
      <c r="G1858">
        <v>1</v>
      </c>
      <c r="H1858">
        <v>60</v>
      </c>
      <c r="I1858">
        <f t="shared" si="1117"/>
        <v>60</v>
      </c>
      <c r="J1858" t="s">
        <v>165</v>
      </c>
      <c r="K1858">
        <f t="shared" si="1125"/>
        <v>31.666666666666668</v>
      </c>
      <c r="M1858">
        <f t="shared" si="1118"/>
        <v>31.666666666666668</v>
      </c>
      <c r="N1858">
        <f t="shared" si="1119"/>
        <v>28.333333333333332</v>
      </c>
    </row>
    <row r="1859" spans="1:14" x14ac:dyDescent="0.25">
      <c r="A1859">
        <v>144</v>
      </c>
      <c r="B1859" s="1">
        <v>43976</v>
      </c>
      <c r="C1859" t="s">
        <v>336</v>
      </c>
      <c r="D1859" t="s">
        <v>15</v>
      </c>
      <c r="F1859" t="s">
        <v>63</v>
      </c>
      <c r="G1859">
        <v>2</v>
      </c>
      <c r="H1859">
        <v>240</v>
      </c>
      <c r="I1859">
        <f t="shared" si="1117"/>
        <v>480</v>
      </c>
      <c r="J1859" t="s">
        <v>163</v>
      </c>
      <c r="K1859">
        <v>205</v>
      </c>
      <c r="M1859">
        <f t="shared" si="1118"/>
        <v>410</v>
      </c>
      <c r="N1859">
        <f t="shared" si="1119"/>
        <v>70</v>
      </c>
    </row>
    <row r="1860" spans="1:14" x14ac:dyDescent="0.25">
      <c r="A1860">
        <v>145</v>
      </c>
      <c r="B1860" s="1">
        <v>43976</v>
      </c>
      <c r="C1860" t="s">
        <v>336</v>
      </c>
      <c r="D1860" t="s">
        <v>24</v>
      </c>
      <c r="F1860" t="s">
        <v>24</v>
      </c>
      <c r="G1860">
        <v>1</v>
      </c>
      <c r="H1860">
        <v>100</v>
      </c>
      <c r="I1860">
        <f t="shared" ref="I1860:I1923" si="1126">+G1860*H1860</f>
        <v>100</v>
      </c>
      <c r="J1860" t="s">
        <v>186</v>
      </c>
      <c r="K1860">
        <v>68.22</v>
      </c>
      <c r="M1860">
        <f t="shared" si="1118"/>
        <v>68.22</v>
      </c>
      <c r="N1860">
        <f t="shared" si="1119"/>
        <v>31.78</v>
      </c>
    </row>
    <row r="1861" spans="1:14" x14ac:dyDescent="0.25">
      <c r="A1861">
        <v>146</v>
      </c>
      <c r="B1861" s="1">
        <v>43976</v>
      </c>
      <c r="C1861" t="s">
        <v>336</v>
      </c>
      <c r="D1861" t="s">
        <v>56</v>
      </c>
      <c r="F1861" t="s">
        <v>267</v>
      </c>
      <c r="G1861">
        <v>1</v>
      </c>
      <c r="H1861">
        <v>170</v>
      </c>
      <c r="I1861">
        <f t="shared" si="1126"/>
        <v>170</v>
      </c>
      <c r="J1861" t="s">
        <v>163</v>
      </c>
      <c r="K1861">
        <v>123</v>
      </c>
      <c r="M1861">
        <f t="shared" ref="M1861:M1924" si="1127">+IF(K1861=0,(""),(K1861*G1861))</f>
        <v>123</v>
      </c>
      <c r="N1861">
        <f t="shared" ref="N1861:N1924" si="1128">+IF(K1861=0,(""),(I1861-M1861))</f>
        <v>47</v>
      </c>
    </row>
    <row r="1862" spans="1:14" x14ac:dyDescent="0.25">
      <c r="A1862">
        <v>147</v>
      </c>
      <c r="B1862" s="1">
        <v>43976</v>
      </c>
      <c r="C1862" t="s">
        <v>336</v>
      </c>
      <c r="D1862" t="s">
        <v>25</v>
      </c>
      <c r="F1862" t="s">
        <v>337</v>
      </c>
      <c r="G1862">
        <v>1</v>
      </c>
      <c r="H1862">
        <v>60</v>
      </c>
      <c r="I1862">
        <f t="shared" si="1126"/>
        <v>60</v>
      </c>
      <c r="J1862" t="s">
        <v>165</v>
      </c>
      <c r="K1862">
        <f t="shared" ref="K1862" si="1129">380/12</f>
        <v>31.666666666666668</v>
      </c>
      <c r="M1862">
        <f t="shared" si="1127"/>
        <v>31.666666666666668</v>
      </c>
      <c r="N1862">
        <f t="shared" si="1128"/>
        <v>28.333333333333332</v>
      </c>
    </row>
    <row r="1863" spans="1:14" x14ac:dyDescent="0.25">
      <c r="A1863">
        <v>148</v>
      </c>
      <c r="B1863" s="1">
        <v>43976</v>
      </c>
      <c r="C1863" t="s">
        <v>336</v>
      </c>
      <c r="D1863" t="s">
        <v>15</v>
      </c>
      <c r="F1863" t="s">
        <v>20</v>
      </c>
      <c r="G1863">
        <v>5</v>
      </c>
      <c r="H1863">
        <v>240</v>
      </c>
      <c r="I1863">
        <f t="shared" si="1126"/>
        <v>1200</v>
      </c>
      <c r="J1863" t="s">
        <v>163</v>
      </c>
      <c r="K1863">
        <v>217</v>
      </c>
      <c r="M1863">
        <f t="shared" si="1127"/>
        <v>1085</v>
      </c>
      <c r="N1863">
        <f t="shared" si="1128"/>
        <v>115</v>
      </c>
    </row>
    <row r="1864" spans="1:14" x14ac:dyDescent="0.25">
      <c r="A1864">
        <v>149</v>
      </c>
      <c r="B1864" s="1">
        <v>43976</v>
      </c>
      <c r="C1864" t="s">
        <v>336</v>
      </c>
      <c r="D1864" t="s">
        <v>56</v>
      </c>
      <c r="F1864" t="s">
        <v>267</v>
      </c>
      <c r="G1864">
        <v>1</v>
      </c>
      <c r="H1864">
        <v>170</v>
      </c>
      <c r="I1864">
        <f t="shared" si="1126"/>
        <v>170</v>
      </c>
      <c r="J1864" t="s">
        <v>163</v>
      </c>
      <c r="K1864">
        <v>123</v>
      </c>
      <c r="M1864">
        <f t="shared" si="1127"/>
        <v>123</v>
      </c>
      <c r="N1864">
        <f t="shared" si="1128"/>
        <v>47</v>
      </c>
    </row>
    <row r="1865" spans="1:14" x14ac:dyDescent="0.25">
      <c r="A1865">
        <v>150</v>
      </c>
      <c r="B1865" s="1">
        <v>43976</v>
      </c>
      <c r="C1865" t="s">
        <v>336</v>
      </c>
      <c r="D1865" t="s">
        <v>55</v>
      </c>
      <c r="F1865" t="s">
        <v>313</v>
      </c>
      <c r="G1865">
        <f>12/16</f>
        <v>0.75</v>
      </c>
      <c r="H1865">
        <v>270</v>
      </c>
      <c r="I1865">
        <f t="shared" si="1126"/>
        <v>202.5</v>
      </c>
      <c r="J1865" t="s">
        <v>167</v>
      </c>
      <c r="K1865">
        <v>207</v>
      </c>
      <c r="M1865">
        <f t="shared" si="1127"/>
        <v>155.25</v>
      </c>
      <c r="N1865">
        <f t="shared" si="1128"/>
        <v>47.25</v>
      </c>
    </row>
    <row r="1866" spans="1:14" x14ac:dyDescent="0.25">
      <c r="A1866">
        <v>151</v>
      </c>
      <c r="B1866" s="1">
        <v>43976</v>
      </c>
      <c r="C1866" t="s">
        <v>336</v>
      </c>
      <c r="D1866" t="s">
        <v>25</v>
      </c>
      <c r="F1866" t="s">
        <v>25</v>
      </c>
      <c r="G1866">
        <v>5</v>
      </c>
      <c r="H1866">
        <v>60</v>
      </c>
      <c r="I1866">
        <f t="shared" si="1126"/>
        <v>300</v>
      </c>
      <c r="J1866" t="s">
        <v>165</v>
      </c>
      <c r="K1866">
        <f t="shared" ref="K1866" si="1130">380/12</f>
        <v>31.666666666666668</v>
      </c>
      <c r="M1866">
        <f t="shared" si="1127"/>
        <v>158.33333333333334</v>
      </c>
      <c r="N1866">
        <f t="shared" si="1128"/>
        <v>141.66666666666666</v>
      </c>
    </row>
    <row r="1867" spans="1:14" x14ac:dyDescent="0.25">
      <c r="A1867">
        <v>152</v>
      </c>
      <c r="B1867" s="1">
        <v>43977</v>
      </c>
      <c r="C1867" t="s">
        <v>336</v>
      </c>
      <c r="D1867" t="s">
        <v>15</v>
      </c>
      <c r="F1867" t="s">
        <v>45</v>
      </c>
      <c r="G1867">
        <v>10</v>
      </c>
      <c r="H1867">
        <v>300</v>
      </c>
      <c r="I1867">
        <f t="shared" si="1126"/>
        <v>3000</v>
      </c>
      <c r="J1867" t="s">
        <v>163</v>
      </c>
      <c r="K1867">
        <v>280</v>
      </c>
      <c r="M1867">
        <f t="shared" si="1127"/>
        <v>2800</v>
      </c>
      <c r="N1867">
        <f t="shared" si="1128"/>
        <v>200</v>
      </c>
    </row>
    <row r="1868" spans="1:14" x14ac:dyDescent="0.25">
      <c r="A1868">
        <v>153</v>
      </c>
      <c r="B1868" s="1">
        <v>43977</v>
      </c>
      <c r="C1868" t="s">
        <v>336</v>
      </c>
      <c r="D1868" t="s">
        <v>78</v>
      </c>
      <c r="F1868" t="s">
        <v>42</v>
      </c>
      <c r="G1868">
        <v>1</v>
      </c>
      <c r="H1868">
        <v>100</v>
      </c>
      <c r="I1868">
        <f t="shared" si="1126"/>
        <v>100</v>
      </c>
      <c r="J1868" t="s">
        <v>166</v>
      </c>
      <c r="M1868" t="str">
        <f t="shared" si="1127"/>
        <v/>
      </c>
      <c r="N1868" t="str">
        <f t="shared" si="1128"/>
        <v/>
      </c>
    </row>
    <row r="1869" spans="1:14" x14ac:dyDescent="0.25">
      <c r="A1869">
        <v>154</v>
      </c>
      <c r="B1869" s="1">
        <v>43977</v>
      </c>
      <c r="C1869" t="s">
        <v>336</v>
      </c>
      <c r="D1869" t="s">
        <v>15</v>
      </c>
      <c r="F1869" t="s">
        <v>219</v>
      </c>
      <c r="G1869">
        <v>3.5</v>
      </c>
      <c r="H1869">
        <v>230</v>
      </c>
      <c r="I1869">
        <f t="shared" si="1126"/>
        <v>805</v>
      </c>
      <c r="J1869" t="s">
        <v>163</v>
      </c>
      <c r="K1869">
        <v>213</v>
      </c>
      <c r="M1869">
        <f t="shared" si="1127"/>
        <v>745.5</v>
      </c>
      <c r="N1869">
        <f t="shared" si="1128"/>
        <v>59.5</v>
      </c>
    </row>
    <row r="1870" spans="1:14" x14ac:dyDescent="0.25">
      <c r="A1870">
        <v>155</v>
      </c>
      <c r="B1870" s="1">
        <v>43977</v>
      </c>
      <c r="C1870" t="s">
        <v>336</v>
      </c>
      <c r="D1870" t="s">
        <v>25</v>
      </c>
      <c r="F1870" t="s">
        <v>71</v>
      </c>
      <c r="G1870">
        <v>4</v>
      </c>
      <c r="H1870">
        <v>60</v>
      </c>
      <c r="I1870">
        <f t="shared" si="1126"/>
        <v>240</v>
      </c>
      <c r="J1870" t="s">
        <v>165</v>
      </c>
      <c r="K1870">
        <f t="shared" ref="K1870" si="1131">380/12</f>
        <v>31.666666666666668</v>
      </c>
      <c r="M1870">
        <f t="shared" si="1127"/>
        <v>126.66666666666667</v>
      </c>
      <c r="N1870">
        <f t="shared" si="1128"/>
        <v>113.33333333333333</v>
      </c>
    </row>
    <row r="1871" spans="1:14" x14ac:dyDescent="0.25">
      <c r="A1871">
        <v>156</v>
      </c>
      <c r="B1871" s="1">
        <v>43977</v>
      </c>
      <c r="C1871" t="s">
        <v>336</v>
      </c>
      <c r="D1871" t="s">
        <v>15</v>
      </c>
      <c r="F1871" t="s">
        <v>345</v>
      </c>
      <c r="G1871">
        <f>1/8.5</f>
        <v>0.11764705882352941</v>
      </c>
      <c r="H1871">
        <v>230</v>
      </c>
      <c r="I1871">
        <f t="shared" si="1126"/>
        <v>27.058823529411764</v>
      </c>
      <c r="J1871" t="s">
        <v>163</v>
      </c>
      <c r="M1871" t="str">
        <f t="shared" si="1127"/>
        <v/>
      </c>
      <c r="N1871" t="str">
        <f t="shared" si="1128"/>
        <v/>
      </c>
    </row>
    <row r="1872" spans="1:14" x14ac:dyDescent="0.25">
      <c r="A1872">
        <v>157</v>
      </c>
      <c r="B1872" s="1">
        <v>43977</v>
      </c>
      <c r="C1872" t="s">
        <v>336</v>
      </c>
      <c r="D1872" t="s">
        <v>25</v>
      </c>
      <c r="F1872" t="s">
        <v>60</v>
      </c>
      <c r="G1872">
        <v>5</v>
      </c>
      <c r="H1872">
        <v>60</v>
      </c>
      <c r="I1872">
        <f t="shared" si="1126"/>
        <v>300</v>
      </c>
      <c r="J1872" t="s">
        <v>165</v>
      </c>
      <c r="K1872">
        <f t="shared" ref="K1872" si="1132">380/12</f>
        <v>31.666666666666668</v>
      </c>
      <c r="M1872">
        <f t="shared" si="1127"/>
        <v>158.33333333333334</v>
      </c>
      <c r="N1872">
        <f t="shared" si="1128"/>
        <v>141.66666666666666</v>
      </c>
    </row>
    <row r="1873" spans="1:14" x14ac:dyDescent="0.25">
      <c r="A1873">
        <v>158</v>
      </c>
      <c r="B1873" s="1">
        <v>43977</v>
      </c>
      <c r="C1873" t="s">
        <v>336</v>
      </c>
      <c r="D1873" t="s">
        <v>55</v>
      </c>
      <c r="F1873" t="s">
        <v>89</v>
      </c>
      <c r="G1873">
        <v>2.5</v>
      </c>
      <c r="H1873">
        <v>300</v>
      </c>
      <c r="I1873">
        <f t="shared" si="1126"/>
        <v>750</v>
      </c>
      <c r="J1873" t="s">
        <v>167</v>
      </c>
      <c r="K1873">
        <v>268</v>
      </c>
      <c r="M1873">
        <f t="shared" si="1127"/>
        <v>670</v>
      </c>
      <c r="N1873">
        <f t="shared" si="1128"/>
        <v>80</v>
      </c>
    </row>
    <row r="1874" spans="1:14" x14ac:dyDescent="0.25">
      <c r="A1874">
        <v>159</v>
      </c>
      <c r="B1874" s="1">
        <v>43977</v>
      </c>
      <c r="C1874" t="s">
        <v>336</v>
      </c>
      <c r="D1874" t="s">
        <v>25</v>
      </c>
      <c r="F1874" t="s">
        <v>315</v>
      </c>
      <c r="G1874">
        <v>2</v>
      </c>
      <c r="H1874">
        <v>100</v>
      </c>
      <c r="I1874">
        <f t="shared" si="1126"/>
        <v>200</v>
      </c>
      <c r="J1874" t="s">
        <v>163</v>
      </c>
      <c r="K1874">
        <v>69</v>
      </c>
      <c r="M1874">
        <f t="shared" si="1127"/>
        <v>138</v>
      </c>
      <c r="N1874">
        <f t="shared" si="1128"/>
        <v>62</v>
      </c>
    </row>
    <row r="1875" spans="1:14" x14ac:dyDescent="0.25">
      <c r="A1875">
        <v>160</v>
      </c>
      <c r="B1875" s="1">
        <v>43977</v>
      </c>
      <c r="C1875" t="s">
        <v>336</v>
      </c>
      <c r="D1875" t="s">
        <v>26</v>
      </c>
      <c r="F1875" t="s">
        <v>47</v>
      </c>
      <c r="G1875">
        <v>53</v>
      </c>
      <c r="H1875">
        <v>370</v>
      </c>
      <c r="I1875">
        <f t="shared" si="1126"/>
        <v>19610</v>
      </c>
      <c r="J1875" t="s">
        <v>99</v>
      </c>
      <c r="K1875">
        <v>312</v>
      </c>
      <c r="M1875">
        <f t="shared" si="1127"/>
        <v>16536</v>
      </c>
      <c r="N1875">
        <f t="shared" si="1128"/>
        <v>3074</v>
      </c>
    </row>
    <row r="1876" spans="1:14" x14ac:dyDescent="0.25">
      <c r="A1876">
        <v>161</v>
      </c>
      <c r="B1876" s="1">
        <v>43978</v>
      </c>
      <c r="C1876" t="s">
        <v>336</v>
      </c>
      <c r="D1876" t="s">
        <v>55</v>
      </c>
      <c r="F1876" t="s">
        <v>89</v>
      </c>
      <c r="G1876">
        <f>3/17</f>
        <v>0.17647058823529413</v>
      </c>
      <c r="H1876">
        <v>300</v>
      </c>
      <c r="I1876">
        <f t="shared" si="1126"/>
        <v>52.941176470588239</v>
      </c>
      <c r="J1876" t="s">
        <v>167</v>
      </c>
      <c r="K1876">
        <v>268</v>
      </c>
      <c r="M1876">
        <f t="shared" si="1127"/>
        <v>47.294117647058826</v>
      </c>
      <c r="N1876">
        <f t="shared" si="1128"/>
        <v>5.647058823529413</v>
      </c>
    </row>
    <row r="1877" spans="1:14" x14ac:dyDescent="0.25">
      <c r="A1877">
        <v>162</v>
      </c>
      <c r="B1877" s="1">
        <v>43978</v>
      </c>
      <c r="C1877" t="s">
        <v>336</v>
      </c>
      <c r="D1877" t="s">
        <v>15</v>
      </c>
      <c r="F1877" t="s">
        <v>29</v>
      </c>
      <c r="G1877">
        <f>6/9</f>
        <v>0.66666666666666663</v>
      </c>
      <c r="H1877">
        <v>225</v>
      </c>
      <c r="I1877">
        <f t="shared" si="1126"/>
        <v>150</v>
      </c>
      <c r="J1877" t="s">
        <v>163</v>
      </c>
      <c r="K1877">
        <v>198</v>
      </c>
      <c r="M1877">
        <f t="shared" si="1127"/>
        <v>132</v>
      </c>
      <c r="N1877">
        <f t="shared" si="1128"/>
        <v>18</v>
      </c>
    </row>
    <row r="1878" spans="1:14" x14ac:dyDescent="0.25">
      <c r="A1878">
        <v>163</v>
      </c>
      <c r="B1878" s="1">
        <v>43978</v>
      </c>
      <c r="C1878" t="s">
        <v>336</v>
      </c>
      <c r="D1878" t="s">
        <v>70</v>
      </c>
      <c r="F1878" t="s">
        <v>227</v>
      </c>
      <c r="G1878">
        <v>1</v>
      </c>
      <c r="H1878">
        <v>1650</v>
      </c>
      <c r="I1878">
        <f t="shared" si="1126"/>
        <v>1650</v>
      </c>
      <c r="J1878" t="s">
        <v>167</v>
      </c>
      <c r="K1878">
        <v>1440</v>
      </c>
      <c r="M1878">
        <f t="shared" si="1127"/>
        <v>1440</v>
      </c>
      <c r="N1878">
        <f t="shared" si="1128"/>
        <v>210</v>
      </c>
    </row>
    <row r="1879" spans="1:14" x14ac:dyDescent="0.25">
      <c r="A1879">
        <v>164</v>
      </c>
      <c r="B1879" s="1">
        <v>43979</v>
      </c>
      <c r="C1879" t="s">
        <v>336</v>
      </c>
      <c r="D1879" t="s">
        <v>15</v>
      </c>
      <c r="F1879" t="s">
        <v>343</v>
      </c>
      <c r="G1879">
        <v>3</v>
      </c>
      <c r="H1879">
        <v>280</v>
      </c>
      <c r="I1879">
        <f t="shared" si="1126"/>
        <v>840</v>
      </c>
      <c r="J1879" t="s">
        <v>167</v>
      </c>
      <c r="K1879">
        <v>219</v>
      </c>
      <c r="M1879">
        <f t="shared" si="1127"/>
        <v>657</v>
      </c>
      <c r="N1879">
        <f t="shared" si="1128"/>
        <v>183</v>
      </c>
    </row>
    <row r="1880" spans="1:14" x14ac:dyDescent="0.25">
      <c r="A1880">
        <v>165</v>
      </c>
      <c r="B1880" s="1">
        <v>43979</v>
      </c>
      <c r="C1880" t="s">
        <v>336</v>
      </c>
      <c r="D1880" t="s">
        <v>15</v>
      </c>
      <c r="F1880" t="s">
        <v>343</v>
      </c>
      <c r="G1880">
        <v>3</v>
      </c>
      <c r="H1880">
        <v>280</v>
      </c>
      <c r="I1880">
        <f t="shared" si="1126"/>
        <v>840</v>
      </c>
      <c r="J1880" t="s">
        <v>167</v>
      </c>
      <c r="K1880">
        <v>219</v>
      </c>
      <c r="M1880">
        <f t="shared" si="1127"/>
        <v>657</v>
      </c>
      <c r="N1880">
        <f t="shared" si="1128"/>
        <v>183</v>
      </c>
    </row>
    <row r="1881" spans="1:14" x14ac:dyDescent="0.25">
      <c r="A1881">
        <v>166</v>
      </c>
      <c r="B1881" s="1">
        <v>43979</v>
      </c>
      <c r="C1881" t="s">
        <v>336</v>
      </c>
      <c r="D1881" t="s">
        <v>70</v>
      </c>
      <c r="F1881" t="s">
        <v>227</v>
      </c>
      <c r="G1881">
        <v>1</v>
      </c>
      <c r="H1881">
        <v>1650</v>
      </c>
      <c r="I1881">
        <f t="shared" si="1126"/>
        <v>1650</v>
      </c>
      <c r="J1881" t="s">
        <v>167</v>
      </c>
      <c r="K1881">
        <v>1440</v>
      </c>
      <c r="M1881">
        <f t="shared" si="1127"/>
        <v>1440</v>
      </c>
      <c r="N1881">
        <f t="shared" si="1128"/>
        <v>210</v>
      </c>
    </row>
    <row r="1882" spans="1:14" x14ac:dyDescent="0.25">
      <c r="A1882">
        <v>167</v>
      </c>
      <c r="B1882" s="1">
        <v>43980</v>
      </c>
      <c r="C1882" t="s">
        <v>336</v>
      </c>
      <c r="D1882" t="s">
        <v>15</v>
      </c>
      <c r="F1882" t="s">
        <v>346</v>
      </c>
      <c r="G1882">
        <v>2.2000000000000002</v>
      </c>
      <c r="H1882">
        <v>280</v>
      </c>
      <c r="I1882">
        <f t="shared" si="1126"/>
        <v>616</v>
      </c>
      <c r="J1882" t="s">
        <v>167</v>
      </c>
      <c r="K1882">
        <v>219</v>
      </c>
      <c r="M1882">
        <f t="shared" si="1127"/>
        <v>481.8</v>
      </c>
      <c r="N1882">
        <f t="shared" si="1128"/>
        <v>134.19999999999999</v>
      </c>
    </row>
    <row r="1883" spans="1:14" x14ac:dyDescent="0.25">
      <c r="A1883">
        <v>168</v>
      </c>
      <c r="B1883" s="1">
        <v>43980</v>
      </c>
      <c r="C1883" t="s">
        <v>336</v>
      </c>
      <c r="D1883" t="s">
        <v>56</v>
      </c>
      <c r="F1883" t="s">
        <v>267</v>
      </c>
      <c r="G1883">
        <v>5</v>
      </c>
      <c r="H1883">
        <v>170</v>
      </c>
      <c r="I1883">
        <f t="shared" si="1126"/>
        <v>850</v>
      </c>
      <c r="J1883" t="s">
        <v>163</v>
      </c>
      <c r="K1883">
        <v>123</v>
      </c>
      <c r="M1883">
        <f t="shared" si="1127"/>
        <v>615</v>
      </c>
      <c r="N1883">
        <f t="shared" si="1128"/>
        <v>235</v>
      </c>
    </row>
    <row r="1884" spans="1:14" x14ac:dyDescent="0.25">
      <c r="A1884">
        <v>169</v>
      </c>
      <c r="B1884" s="1">
        <v>43980</v>
      </c>
      <c r="C1884" t="s">
        <v>336</v>
      </c>
      <c r="D1884" t="s">
        <v>25</v>
      </c>
      <c r="F1884" t="s">
        <v>130</v>
      </c>
      <c r="G1884">
        <v>1</v>
      </c>
      <c r="H1884">
        <v>60</v>
      </c>
      <c r="I1884">
        <f t="shared" si="1126"/>
        <v>60</v>
      </c>
      <c r="J1884" t="s">
        <v>165</v>
      </c>
      <c r="K1884">
        <f t="shared" ref="K1884:K1885" si="1133">380/12</f>
        <v>31.666666666666668</v>
      </c>
      <c r="M1884">
        <f t="shared" si="1127"/>
        <v>31.666666666666668</v>
      </c>
      <c r="N1884">
        <f t="shared" si="1128"/>
        <v>28.333333333333332</v>
      </c>
    </row>
    <row r="1885" spans="1:14" x14ac:dyDescent="0.25">
      <c r="A1885">
        <v>170</v>
      </c>
      <c r="B1885" s="1">
        <v>43980</v>
      </c>
      <c r="C1885" t="s">
        <v>336</v>
      </c>
      <c r="D1885" t="s">
        <v>25</v>
      </c>
      <c r="F1885" t="s">
        <v>130</v>
      </c>
      <c r="G1885">
        <v>1</v>
      </c>
      <c r="H1885">
        <v>60</v>
      </c>
      <c r="I1885">
        <f t="shared" si="1126"/>
        <v>60</v>
      </c>
      <c r="J1885" t="s">
        <v>165</v>
      </c>
      <c r="K1885">
        <f t="shared" si="1133"/>
        <v>31.666666666666668</v>
      </c>
      <c r="M1885">
        <f t="shared" si="1127"/>
        <v>31.666666666666668</v>
      </c>
      <c r="N1885">
        <f t="shared" si="1128"/>
        <v>28.333333333333332</v>
      </c>
    </row>
    <row r="1886" spans="1:14" x14ac:dyDescent="0.25">
      <c r="A1886">
        <v>171</v>
      </c>
      <c r="B1886" s="1">
        <v>43980</v>
      </c>
      <c r="C1886" t="s">
        <v>336</v>
      </c>
      <c r="D1886" t="s">
        <v>15</v>
      </c>
      <c r="F1886" t="s">
        <v>80</v>
      </c>
      <c r="G1886">
        <f>4/4.32</f>
        <v>0.92592592592592582</v>
      </c>
      <c r="H1886">
        <v>240</v>
      </c>
      <c r="I1886">
        <f t="shared" si="1126"/>
        <v>222.2222222222222</v>
      </c>
      <c r="J1886" t="s">
        <v>163</v>
      </c>
      <c r="K1886">
        <v>212</v>
      </c>
      <c r="M1886">
        <f t="shared" si="1127"/>
        <v>196.29629629629628</v>
      </c>
      <c r="N1886">
        <f t="shared" si="1128"/>
        <v>25.925925925925924</v>
      </c>
    </row>
    <row r="1887" spans="1:14" x14ac:dyDescent="0.25">
      <c r="A1887">
        <v>172</v>
      </c>
      <c r="B1887" s="1">
        <v>43980</v>
      </c>
      <c r="C1887" t="s">
        <v>336</v>
      </c>
      <c r="D1887" t="s">
        <v>56</v>
      </c>
      <c r="F1887" t="s">
        <v>267</v>
      </c>
      <c r="G1887">
        <v>1</v>
      </c>
      <c r="H1887">
        <v>170</v>
      </c>
      <c r="I1887">
        <f t="shared" si="1126"/>
        <v>170</v>
      </c>
      <c r="J1887" t="s">
        <v>163</v>
      </c>
      <c r="K1887">
        <v>123</v>
      </c>
      <c r="M1887">
        <f t="shared" si="1127"/>
        <v>123</v>
      </c>
      <c r="N1887">
        <f t="shared" si="1128"/>
        <v>47</v>
      </c>
    </row>
    <row r="1888" spans="1:14" x14ac:dyDescent="0.25">
      <c r="A1888">
        <v>173</v>
      </c>
      <c r="B1888" s="1">
        <v>43980</v>
      </c>
      <c r="C1888" t="s">
        <v>336</v>
      </c>
      <c r="D1888" t="s">
        <v>25</v>
      </c>
      <c r="F1888" t="s">
        <v>130</v>
      </c>
      <c r="G1888">
        <v>1</v>
      </c>
      <c r="H1888">
        <v>60</v>
      </c>
      <c r="I1888">
        <f t="shared" si="1126"/>
        <v>60</v>
      </c>
      <c r="J1888" t="s">
        <v>165</v>
      </c>
      <c r="K1888">
        <f t="shared" ref="K1888" si="1134">380/12</f>
        <v>31.666666666666668</v>
      </c>
      <c r="M1888">
        <f t="shared" si="1127"/>
        <v>31.666666666666668</v>
      </c>
      <c r="N1888">
        <f t="shared" si="1128"/>
        <v>28.333333333333332</v>
      </c>
    </row>
    <row r="1889" spans="1:14" x14ac:dyDescent="0.25">
      <c r="A1889">
        <v>174</v>
      </c>
      <c r="B1889" s="1">
        <v>43980</v>
      </c>
      <c r="C1889" t="s">
        <v>336</v>
      </c>
      <c r="D1889" t="s">
        <v>15</v>
      </c>
      <c r="F1889" t="s">
        <v>292</v>
      </c>
      <c r="G1889">
        <v>11</v>
      </c>
      <c r="H1889">
        <v>230</v>
      </c>
      <c r="I1889">
        <f t="shared" si="1126"/>
        <v>2530</v>
      </c>
      <c r="J1889" t="s">
        <v>163</v>
      </c>
      <c r="K1889">
        <v>177</v>
      </c>
      <c r="M1889">
        <f t="shared" si="1127"/>
        <v>1947</v>
      </c>
      <c r="N1889">
        <f t="shared" si="1128"/>
        <v>583</v>
      </c>
    </row>
    <row r="1890" spans="1:14" x14ac:dyDescent="0.25">
      <c r="A1890">
        <v>1</v>
      </c>
      <c r="B1890" s="1">
        <v>43984</v>
      </c>
      <c r="C1890" t="s">
        <v>347</v>
      </c>
      <c r="D1890" t="s">
        <v>15</v>
      </c>
      <c r="F1890" t="s">
        <v>292</v>
      </c>
      <c r="G1890">
        <v>3.5</v>
      </c>
      <c r="H1890">
        <v>230</v>
      </c>
      <c r="I1890">
        <f t="shared" si="1126"/>
        <v>805</v>
      </c>
      <c r="J1890" t="s">
        <v>163</v>
      </c>
      <c r="K1890">
        <v>177</v>
      </c>
      <c r="M1890">
        <f t="shared" si="1127"/>
        <v>619.5</v>
      </c>
      <c r="N1890">
        <f t="shared" si="1128"/>
        <v>185.5</v>
      </c>
    </row>
    <row r="1891" spans="1:14" x14ac:dyDescent="0.25">
      <c r="A1891">
        <v>2</v>
      </c>
      <c r="B1891" s="1">
        <v>43984</v>
      </c>
      <c r="C1891" t="s">
        <v>347</v>
      </c>
      <c r="D1891" t="s">
        <v>25</v>
      </c>
      <c r="F1891" t="s">
        <v>337</v>
      </c>
      <c r="G1891">
        <v>1</v>
      </c>
      <c r="H1891">
        <v>60</v>
      </c>
      <c r="I1891">
        <f t="shared" si="1126"/>
        <v>60</v>
      </c>
      <c r="J1891" t="s">
        <v>165</v>
      </c>
      <c r="K1891">
        <v>33</v>
      </c>
      <c r="M1891">
        <f t="shared" si="1127"/>
        <v>33</v>
      </c>
      <c r="N1891">
        <f t="shared" si="1128"/>
        <v>27</v>
      </c>
    </row>
    <row r="1892" spans="1:14" x14ac:dyDescent="0.25">
      <c r="A1892">
        <v>3</v>
      </c>
      <c r="B1892" s="1">
        <v>43984</v>
      </c>
      <c r="C1892" t="s">
        <v>347</v>
      </c>
      <c r="D1892" t="s">
        <v>56</v>
      </c>
      <c r="F1892" t="s">
        <v>267</v>
      </c>
      <c r="G1892">
        <v>1</v>
      </c>
      <c r="H1892">
        <v>170</v>
      </c>
      <c r="I1892">
        <f t="shared" si="1126"/>
        <v>170</v>
      </c>
      <c r="J1892" t="s">
        <v>163</v>
      </c>
      <c r="K1892">
        <v>123</v>
      </c>
      <c r="M1892">
        <f t="shared" si="1127"/>
        <v>123</v>
      </c>
      <c r="N1892">
        <f t="shared" si="1128"/>
        <v>47</v>
      </c>
    </row>
    <row r="1893" spans="1:14" x14ac:dyDescent="0.25">
      <c r="A1893">
        <v>4</v>
      </c>
      <c r="B1893" s="1">
        <v>43984</v>
      </c>
      <c r="C1893" t="s">
        <v>347</v>
      </c>
      <c r="D1893" t="s">
        <v>15</v>
      </c>
      <c r="F1893" t="s">
        <v>45</v>
      </c>
      <c r="G1893">
        <v>5</v>
      </c>
      <c r="H1893">
        <v>300</v>
      </c>
      <c r="I1893">
        <f t="shared" si="1126"/>
        <v>1500</v>
      </c>
      <c r="J1893" t="s">
        <v>167</v>
      </c>
      <c r="K1893">
        <v>268</v>
      </c>
      <c r="M1893">
        <f t="shared" si="1127"/>
        <v>1340</v>
      </c>
      <c r="N1893">
        <f t="shared" si="1128"/>
        <v>160</v>
      </c>
    </row>
    <row r="1894" spans="1:14" x14ac:dyDescent="0.25">
      <c r="A1894">
        <v>5</v>
      </c>
      <c r="B1894" s="1">
        <v>43984</v>
      </c>
      <c r="C1894" t="s">
        <v>347</v>
      </c>
      <c r="D1894" t="s">
        <v>70</v>
      </c>
      <c r="F1894" t="s">
        <v>227</v>
      </c>
      <c r="G1894">
        <v>2</v>
      </c>
      <c r="H1894">
        <v>1600</v>
      </c>
      <c r="I1894">
        <f t="shared" si="1126"/>
        <v>3200</v>
      </c>
      <c r="J1894" t="s">
        <v>167</v>
      </c>
      <c r="K1894">
        <v>1440</v>
      </c>
      <c r="M1894">
        <f t="shared" si="1127"/>
        <v>2880</v>
      </c>
      <c r="N1894">
        <f t="shared" si="1128"/>
        <v>320</v>
      </c>
    </row>
    <row r="1895" spans="1:14" x14ac:dyDescent="0.25">
      <c r="A1895">
        <v>6</v>
      </c>
      <c r="B1895" s="1">
        <v>43984</v>
      </c>
      <c r="C1895" t="s">
        <v>347</v>
      </c>
      <c r="D1895" t="s">
        <v>92</v>
      </c>
      <c r="F1895" t="s">
        <v>354</v>
      </c>
      <c r="G1895">
        <v>1</v>
      </c>
      <c r="H1895">
        <v>150</v>
      </c>
      <c r="I1895">
        <f t="shared" si="1126"/>
        <v>150</v>
      </c>
      <c r="J1895" t="s">
        <v>166</v>
      </c>
      <c r="M1895" t="str">
        <f t="shared" si="1127"/>
        <v/>
      </c>
      <c r="N1895" t="str">
        <f t="shared" si="1128"/>
        <v/>
      </c>
    </row>
    <row r="1896" spans="1:14" x14ac:dyDescent="0.25">
      <c r="A1896">
        <v>7</v>
      </c>
      <c r="B1896" s="1">
        <v>43984</v>
      </c>
      <c r="C1896" t="s">
        <v>347</v>
      </c>
      <c r="D1896" t="s">
        <v>92</v>
      </c>
      <c r="F1896" t="s">
        <v>275</v>
      </c>
      <c r="G1896">
        <v>1</v>
      </c>
      <c r="H1896">
        <v>170</v>
      </c>
      <c r="I1896">
        <f t="shared" si="1126"/>
        <v>170</v>
      </c>
      <c r="J1896" t="s">
        <v>166</v>
      </c>
      <c r="M1896" t="str">
        <f t="shared" si="1127"/>
        <v/>
      </c>
      <c r="N1896" t="str">
        <f t="shared" si="1128"/>
        <v/>
      </c>
    </row>
    <row r="1897" spans="1:14" x14ac:dyDescent="0.25">
      <c r="A1897">
        <v>8</v>
      </c>
      <c r="B1897" s="1">
        <v>43984</v>
      </c>
      <c r="C1897" t="s">
        <v>347</v>
      </c>
      <c r="D1897" t="s">
        <v>85</v>
      </c>
      <c r="F1897" t="s">
        <v>216</v>
      </c>
      <c r="G1897">
        <v>1</v>
      </c>
      <c r="H1897">
        <v>900</v>
      </c>
      <c r="I1897">
        <f t="shared" si="1126"/>
        <v>900</v>
      </c>
      <c r="J1897" t="s">
        <v>167</v>
      </c>
      <c r="K1897">
        <v>480</v>
      </c>
      <c r="M1897">
        <f t="shared" si="1127"/>
        <v>480</v>
      </c>
      <c r="N1897">
        <f t="shared" si="1128"/>
        <v>420</v>
      </c>
    </row>
    <row r="1898" spans="1:14" x14ac:dyDescent="0.25">
      <c r="A1898">
        <v>9</v>
      </c>
      <c r="B1898" s="1">
        <v>43984</v>
      </c>
      <c r="C1898" t="s">
        <v>347</v>
      </c>
      <c r="D1898" t="s">
        <v>85</v>
      </c>
      <c r="F1898" t="s">
        <v>253</v>
      </c>
      <c r="G1898">
        <v>1</v>
      </c>
      <c r="H1898">
        <v>900</v>
      </c>
      <c r="I1898">
        <f t="shared" si="1126"/>
        <v>900</v>
      </c>
      <c r="J1898" t="s">
        <v>167</v>
      </c>
      <c r="K1898">
        <v>395</v>
      </c>
      <c r="M1898">
        <f t="shared" si="1127"/>
        <v>395</v>
      </c>
      <c r="N1898">
        <f t="shared" si="1128"/>
        <v>505</v>
      </c>
    </row>
    <row r="1899" spans="1:14" x14ac:dyDescent="0.25">
      <c r="A1899">
        <v>10</v>
      </c>
      <c r="B1899" s="1">
        <v>43984</v>
      </c>
      <c r="C1899" t="s">
        <v>347</v>
      </c>
      <c r="D1899" t="s">
        <v>85</v>
      </c>
      <c r="F1899" t="s">
        <v>355</v>
      </c>
      <c r="G1899">
        <v>1</v>
      </c>
      <c r="H1899">
        <v>90</v>
      </c>
      <c r="I1899">
        <f t="shared" si="1126"/>
        <v>90</v>
      </c>
      <c r="J1899" t="s">
        <v>166</v>
      </c>
      <c r="M1899" t="str">
        <f t="shared" si="1127"/>
        <v/>
      </c>
      <c r="N1899" t="str">
        <f t="shared" si="1128"/>
        <v/>
      </c>
    </row>
    <row r="1900" spans="1:14" x14ac:dyDescent="0.25">
      <c r="A1900">
        <v>11</v>
      </c>
      <c r="B1900" s="1">
        <v>43984</v>
      </c>
      <c r="C1900" t="s">
        <v>347</v>
      </c>
      <c r="D1900" t="s">
        <v>85</v>
      </c>
      <c r="F1900" t="s">
        <v>84</v>
      </c>
      <c r="G1900">
        <v>1</v>
      </c>
      <c r="H1900">
        <v>90</v>
      </c>
      <c r="I1900">
        <f t="shared" si="1126"/>
        <v>90</v>
      </c>
      <c r="J1900" t="s">
        <v>166</v>
      </c>
      <c r="M1900" t="str">
        <f t="shared" si="1127"/>
        <v/>
      </c>
      <c r="N1900" t="str">
        <f t="shared" si="1128"/>
        <v/>
      </c>
    </row>
    <row r="1901" spans="1:14" x14ac:dyDescent="0.25">
      <c r="A1901">
        <v>12</v>
      </c>
      <c r="B1901" s="1">
        <v>43984</v>
      </c>
      <c r="C1901" t="s">
        <v>347</v>
      </c>
      <c r="D1901" t="s">
        <v>15</v>
      </c>
      <c r="F1901" t="s">
        <v>219</v>
      </c>
      <c r="G1901">
        <v>6</v>
      </c>
      <c r="H1901">
        <v>240</v>
      </c>
      <c r="I1901">
        <f t="shared" si="1126"/>
        <v>1440</v>
      </c>
      <c r="J1901" t="s">
        <v>163</v>
      </c>
      <c r="K1901">
        <v>213</v>
      </c>
      <c r="M1901">
        <f t="shared" si="1127"/>
        <v>1278</v>
      </c>
      <c r="N1901">
        <f t="shared" si="1128"/>
        <v>162</v>
      </c>
    </row>
    <row r="1902" spans="1:14" x14ac:dyDescent="0.25">
      <c r="A1902">
        <v>13</v>
      </c>
      <c r="B1902" s="1">
        <v>43984</v>
      </c>
      <c r="C1902" t="s">
        <v>347</v>
      </c>
      <c r="D1902" t="s">
        <v>15</v>
      </c>
      <c r="F1902" t="s">
        <v>20</v>
      </c>
      <c r="G1902">
        <v>36</v>
      </c>
      <c r="H1902">
        <v>240</v>
      </c>
      <c r="I1902">
        <f t="shared" si="1126"/>
        <v>8640</v>
      </c>
      <c r="J1902" t="s">
        <v>163</v>
      </c>
      <c r="K1902">
        <v>217</v>
      </c>
      <c r="M1902">
        <f t="shared" si="1127"/>
        <v>7812</v>
      </c>
      <c r="N1902">
        <f t="shared" si="1128"/>
        <v>828</v>
      </c>
    </row>
    <row r="1903" spans="1:14" x14ac:dyDescent="0.25">
      <c r="A1903">
        <v>14</v>
      </c>
      <c r="B1903" s="1">
        <v>43984</v>
      </c>
      <c r="C1903" t="s">
        <v>347</v>
      </c>
      <c r="D1903" t="s">
        <v>15</v>
      </c>
      <c r="F1903" t="s">
        <v>356</v>
      </c>
      <c r="G1903">
        <v>10</v>
      </c>
      <c r="H1903">
        <v>240</v>
      </c>
      <c r="I1903">
        <f t="shared" si="1126"/>
        <v>2400</v>
      </c>
      <c r="J1903" t="s">
        <v>167</v>
      </c>
      <c r="K1903">
        <v>207</v>
      </c>
      <c r="M1903">
        <f t="shared" si="1127"/>
        <v>2070</v>
      </c>
      <c r="N1903">
        <f t="shared" si="1128"/>
        <v>330</v>
      </c>
    </row>
    <row r="1904" spans="1:14" x14ac:dyDescent="0.25">
      <c r="A1904">
        <v>15</v>
      </c>
      <c r="B1904" s="1">
        <v>43984</v>
      </c>
      <c r="C1904" t="s">
        <v>347</v>
      </c>
      <c r="D1904" t="s">
        <v>56</v>
      </c>
      <c r="F1904" t="s">
        <v>267</v>
      </c>
      <c r="G1904">
        <v>15</v>
      </c>
      <c r="H1904">
        <v>170</v>
      </c>
      <c r="I1904">
        <f t="shared" si="1126"/>
        <v>2550</v>
      </c>
      <c r="J1904" t="s">
        <v>163</v>
      </c>
      <c r="K1904">
        <v>123</v>
      </c>
      <c r="M1904">
        <f t="shared" si="1127"/>
        <v>1845</v>
      </c>
      <c r="N1904">
        <f t="shared" si="1128"/>
        <v>705</v>
      </c>
    </row>
    <row r="1905" spans="1:14" x14ac:dyDescent="0.25">
      <c r="A1905">
        <v>16</v>
      </c>
      <c r="B1905" s="1">
        <v>43984</v>
      </c>
      <c r="C1905" t="s">
        <v>347</v>
      </c>
      <c r="D1905" t="s">
        <v>44</v>
      </c>
      <c r="F1905" t="s">
        <v>133</v>
      </c>
      <c r="G1905">
        <v>1</v>
      </c>
      <c r="H1905">
        <v>35</v>
      </c>
      <c r="I1905">
        <f t="shared" si="1126"/>
        <v>35</v>
      </c>
      <c r="J1905" t="s">
        <v>166</v>
      </c>
      <c r="K1905">
        <v>22</v>
      </c>
      <c r="M1905">
        <f t="shared" si="1127"/>
        <v>22</v>
      </c>
      <c r="N1905">
        <f t="shared" si="1128"/>
        <v>13</v>
      </c>
    </row>
    <row r="1906" spans="1:14" x14ac:dyDescent="0.25">
      <c r="A1906">
        <v>17</v>
      </c>
      <c r="B1906" s="1">
        <v>43985</v>
      </c>
      <c r="C1906" t="s">
        <v>347</v>
      </c>
      <c r="D1906" t="s">
        <v>15</v>
      </c>
      <c r="F1906" t="s">
        <v>33</v>
      </c>
      <c r="G1906">
        <v>21</v>
      </c>
      <c r="H1906">
        <v>230</v>
      </c>
      <c r="I1906">
        <f t="shared" si="1126"/>
        <v>4830</v>
      </c>
      <c r="J1906" t="s">
        <v>163</v>
      </c>
      <c r="K1906">
        <v>204</v>
      </c>
      <c r="M1906">
        <f t="shared" si="1127"/>
        <v>4284</v>
      </c>
      <c r="N1906">
        <f t="shared" si="1128"/>
        <v>546</v>
      </c>
    </row>
    <row r="1907" spans="1:14" x14ac:dyDescent="0.25">
      <c r="A1907">
        <v>18</v>
      </c>
      <c r="B1907" s="1">
        <v>43985</v>
      </c>
      <c r="C1907" t="s">
        <v>347</v>
      </c>
      <c r="D1907" t="s">
        <v>15</v>
      </c>
      <c r="F1907" t="s">
        <v>357</v>
      </c>
      <c r="G1907">
        <v>8</v>
      </c>
      <c r="H1907">
        <v>240</v>
      </c>
      <c r="I1907">
        <f t="shared" si="1126"/>
        <v>1920</v>
      </c>
      <c r="J1907" t="s">
        <v>167</v>
      </c>
      <c r="K1907">
        <v>207</v>
      </c>
      <c r="M1907">
        <f t="shared" si="1127"/>
        <v>1656</v>
      </c>
      <c r="N1907">
        <f t="shared" si="1128"/>
        <v>264</v>
      </c>
    </row>
    <row r="1908" spans="1:14" x14ac:dyDescent="0.25">
      <c r="A1908">
        <v>19</v>
      </c>
      <c r="B1908" s="1">
        <v>43985</v>
      </c>
      <c r="C1908" t="s">
        <v>347</v>
      </c>
      <c r="D1908" t="s">
        <v>56</v>
      </c>
      <c r="F1908" t="s">
        <v>267</v>
      </c>
      <c r="G1908">
        <v>2</v>
      </c>
      <c r="H1908">
        <v>170</v>
      </c>
      <c r="I1908">
        <f t="shared" si="1126"/>
        <v>340</v>
      </c>
      <c r="J1908" t="s">
        <v>163</v>
      </c>
      <c r="K1908">
        <v>123</v>
      </c>
      <c r="M1908">
        <f t="shared" si="1127"/>
        <v>246</v>
      </c>
      <c r="N1908">
        <f t="shared" si="1128"/>
        <v>94</v>
      </c>
    </row>
    <row r="1909" spans="1:14" x14ac:dyDescent="0.25">
      <c r="A1909">
        <v>20</v>
      </c>
      <c r="B1909" s="1">
        <v>43985</v>
      </c>
      <c r="C1909" t="s">
        <v>347</v>
      </c>
      <c r="D1909" t="s">
        <v>25</v>
      </c>
      <c r="F1909" t="s">
        <v>130</v>
      </c>
      <c r="G1909">
        <v>2</v>
      </c>
      <c r="H1909">
        <v>60</v>
      </c>
      <c r="I1909">
        <f t="shared" si="1126"/>
        <v>120</v>
      </c>
      <c r="J1909" t="s">
        <v>165</v>
      </c>
      <c r="K1909">
        <v>33</v>
      </c>
      <c r="M1909">
        <f t="shared" si="1127"/>
        <v>66</v>
      </c>
      <c r="N1909">
        <f t="shared" si="1128"/>
        <v>54</v>
      </c>
    </row>
    <row r="1910" spans="1:14" x14ac:dyDescent="0.25">
      <c r="A1910">
        <v>21</v>
      </c>
      <c r="B1910" s="1">
        <v>43986</v>
      </c>
      <c r="C1910" t="s">
        <v>347</v>
      </c>
      <c r="D1910" t="s">
        <v>15</v>
      </c>
      <c r="F1910" t="s">
        <v>33</v>
      </c>
      <c r="G1910">
        <v>7.65</v>
      </c>
      <c r="H1910">
        <v>230</v>
      </c>
      <c r="I1910">
        <f t="shared" si="1126"/>
        <v>1759.5</v>
      </c>
      <c r="J1910" t="s">
        <v>163</v>
      </c>
      <c r="K1910">
        <v>204</v>
      </c>
      <c r="M1910">
        <f t="shared" si="1127"/>
        <v>1560.6000000000001</v>
      </c>
      <c r="N1910">
        <f t="shared" si="1128"/>
        <v>198.89999999999986</v>
      </c>
    </row>
    <row r="1911" spans="1:14" x14ac:dyDescent="0.25">
      <c r="A1911">
        <v>22</v>
      </c>
      <c r="B1911" s="1">
        <v>43986</v>
      </c>
      <c r="C1911" t="s">
        <v>347</v>
      </c>
      <c r="D1911" t="s">
        <v>15</v>
      </c>
      <c r="F1911" t="s">
        <v>20</v>
      </c>
      <c r="G1911">
        <v>1</v>
      </c>
      <c r="H1911">
        <v>240</v>
      </c>
      <c r="I1911">
        <f t="shared" si="1126"/>
        <v>240</v>
      </c>
      <c r="J1911" t="s">
        <v>163</v>
      </c>
      <c r="K1911">
        <v>217</v>
      </c>
      <c r="M1911">
        <f t="shared" si="1127"/>
        <v>217</v>
      </c>
      <c r="N1911">
        <f t="shared" si="1128"/>
        <v>23</v>
      </c>
    </row>
    <row r="1912" spans="1:14" x14ac:dyDescent="0.25">
      <c r="A1912">
        <v>23</v>
      </c>
      <c r="B1912" s="1">
        <v>43987</v>
      </c>
      <c r="C1912" t="s">
        <v>347</v>
      </c>
      <c r="D1912" t="s">
        <v>15</v>
      </c>
      <c r="F1912" t="s">
        <v>63</v>
      </c>
      <c r="G1912">
        <v>9</v>
      </c>
      <c r="H1912">
        <v>240</v>
      </c>
      <c r="I1912">
        <f t="shared" si="1126"/>
        <v>2160</v>
      </c>
      <c r="J1912" t="s">
        <v>163</v>
      </c>
      <c r="K1912">
        <v>205</v>
      </c>
      <c r="M1912">
        <f t="shared" si="1127"/>
        <v>1845</v>
      </c>
      <c r="N1912">
        <f t="shared" si="1128"/>
        <v>315</v>
      </c>
    </row>
    <row r="1913" spans="1:14" x14ac:dyDescent="0.25">
      <c r="A1913">
        <v>24</v>
      </c>
      <c r="B1913" s="1">
        <v>43987</v>
      </c>
      <c r="C1913" t="s">
        <v>347</v>
      </c>
      <c r="D1913" t="s">
        <v>15</v>
      </c>
      <c r="F1913" t="s">
        <v>358</v>
      </c>
      <c r="G1913">
        <v>9</v>
      </c>
      <c r="H1913">
        <v>240</v>
      </c>
      <c r="I1913">
        <f t="shared" si="1126"/>
        <v>2160</v>
      </c>
      <c r="J1913" t="s">
        <v>163</v>
      </c>
      <c r="K1913">
        <v>237</v>
      </c>
      <c r="M1913">
        <f t="shared" si="1127"/>
        <v>2133</v>
      </c>
      <c r="N1913">
        <f t="shared" si="1128"/>
        <v>27</v>
      </c>
    </row>
    <row r="1914" spans="1:14" x14ac:dyDescent="0.25">
      <c r="A1914">
        <v>25</v>
      </c>
      <c r="B1914" s="1">
        <v>43987</v>
      </c>
      <c r="C1914" t="s">
        <v>347</v>
      </c>
      <c r="D1914" t="s">
        <v>25</v>
      </c>
      <c r="F1914" t="s">
        <v>130</v>
      </c>
      <c r="G1914">
        <v>2</v>
      </c>
      <c r="H1914">
        <v>60</v>
      </c>
      <c r="I1914">
        <f t="shared" si="1126"/>
        <v>120</v>
      </c>
      <c r="J1914" t="s">
        <v>165</v>
      </c>
      <c r="K1914">
        <v>33</v>
      </c>
      <c r="M1914">
        <f t="shared" si="1127"/>
        <v>66</v>
      </c>
      <c r="N1914">
        <f t="shared" si="1128"/>
        <v>54</v>
      </c>
    </row>
    <row r="1915" spans="1:14" x14ac:dyDescent="0.25">
      <c r="A1915">
        <v>26</v>
      </c>
      <c r="B1915" s="1">
        <v>43987</v>
      </c>
      <c r="C1915" t="s">
        <v>347</v>
      </c>
      <c r="D1915" t="s">
        <v>44</v>
      </c>
      <c r="F1915" t="s">
        <v>138</v>
      </c>
      <c r="G1915">
        <v>1</v>
      </c>
      <c r="H1915">
        <v>35</v>
      </c>
      <c r="I1915">
        <f t="shared" si="1126"/>
        <v>35</v>
      </c>
      <c r="J1915" t="s">
        <v>166</v>
      </c>
      <c r="K1915">
        <v>29</v>
      </c>
      <c r="M1915">
        <f t="shared" si="1127"/>
        <v>29</v>
      </c>
      <c r="N1915">
        <f t="shared" si="1128"/>
        <v>6</v>
      </c>
    </row>
    <row r="1916" spans="1:14" x14ac:dyDescent="0.25">
      <c r="A1916">
        <v>27</v>
      </c>
      <c r="B1916" s="1">
        <v>43987</v>
      </c>
      <c r="C1916" t="s">
        <v>347</v>
      </c>
      <c r="D1916" t="s">
        <v>56</v>
      </c>
      <c r="F1916" t="s">
        <v>38</v>
      </c>
      <c r="G1916">
        <v>10</v>
      </c>
      <c r="H1916">
        <v>110</v>
      </c>
      <c r="I1916">
        <f t="shared" si="1126"/>
        <v>1100</v>
      </c>
      <c r="J1916" t="s">
        <v>164</v>
      </c>
      <c r="K1916">
        <v>70</v>
      </c>
      <c r="M1916">
        <f t="shared" si="1127"/>
        <v>700</v>
      </c>
      <c r="N1916">
        <f t="shared" si="1128"/>
        <v>400</v>
      </c>
    </row>
    <row r="1917" spans="1:14" x14ac:dyDescent="0.25">
      <c r="A1917">
        <v>28</v>
      </c>
      <c r="B1917" s="1">
        <v>43987</v>
      </c>
      <c r="C1917" t="s">
        <v>347</v>
      </c>
      <c r="D1917" t="s">
        <v>55</v>
      </c>
      <c r="F1917" t="s">
        <v>22</v>
      </c>
      <c r="G1917">
        <f>6/17</f>
        <v>0.35294117647058826</v>
      </c>
      <c r="H1917">
        <v>300</v>
      </c>
      <c r="I1917">
        <f t="shared" si="1126"/>
        <v>105.88235294117648</v>
      </c>
      <c r="J1917" t="s">
        <v>167</v>
      </c>
      <c r="K1917">
        <v>268</v>
      </c>
      <c r="M1917">
        <f t="shared" si="1127"/>
        <v>94.588235294117652</v>
      </c>
      <c r="N1917">
        <f t="shared" si="1128"/>
        <v>11.294117647058826</v>
      </c>
    </row>
    <row r="1918" spans="1:14" x14ac:dyDescent="0.25">
      <c r="A1918">
        <v>29</v>
      </c>
      <c r="B1918" s="1">
        <v>43987</v>
      </c>
      <c r="C1918" t="s">
        <v>347</v>
      </c>
      <c r="D1918" t="s">
        <v>15</v>
      </c>
      <c r="F1918" t="s">
        <v>29</v>
      </c>
      <c r="G1918">
        <v>33</v>
      </c>
      <c r="H1918">
        <v>228</v>
      </c>
      <c r="I1918">
        <f t="shared" si="1126"/>
        <v>7524</v>
      </c>
      <c r="J1918" t="s">
        <v>163</v>
      </c>
      <c r="K1918">
        <v>198</v>
      </c>
      <c r="M1918">
        <f t="shared" si="1127"/>
        <v>6534</v>
      </c>
      <c r="N1918">
        <f t="shared" si="1128"/>
        <v>990</v>
      </c>
    </row>
    <row r="1919" spans="1:14" x14ac:dyDescent="0.25">
      <c r="A1919">
        <v>30</v>
      </c>
      <c r="B1919" s="1">
        <v>43987</v>
      </c>
      <c r="C1919" t="s">
        <v>347</v>
      </c>
      <c r="D1919" t="s">
        <v>56</v>
      </c>
      <c r="F1919" t="s">
        <v>267</v>
      </c>
      <c r="G1919">
        <v>8</v>
      </c>
      <c r="H1919">
        <v>160</v>
      </c>
      <c r="I1919">
        <f t="shared" si="1126"/>
        <v>1280</v>
      </c>
      <c r="J1919" t="s">
        <v>163</v>
      </c>
      <c r="K1919">
        <v>123</v>
      </c>
      <c r="M1919">
        <f t="shared" si="1127"/>
        <v>984</v>
      </c>
      <c r="N1919">
        <f t="shared" si="1128"/>
        <v>296</v>
      </c>
    </row>
    <row r="1920" spans="1:14" x14ac:dyDescent="0.25">
      <c r="A1920">
        <v>31</v>
      </c>
      <c r="B1920" s="1">
        <v>43987</v>
      </c>
      <c r="C1920" t="s">
        <v>347</v>
      </c>
      <c r="D1920" t="s">
        <v>25</v>
      </c>
      <c r="F1920" t="s">
        <v>148</v>
      </c>
      <c r="G1920">
        <v>2</v>
      </c>
      <c r="H1920">
        <v>60</v>
      </c>
      <c r="I1920">
        <f t="shared" si="1126"/>
        <v>120</v>
      </c>
      <c r="J1920" t="s">
        <v>165</v>
      </c>
      <c r="K1920">
        <v>33</v>
      </c>
      <c r="M1920">
        <f t="shared" si="1127"/>
        <v>66</v>
      </c>
      <c r="N1920">
        <f t="shared" si="1128"/>
        <v>54</v>
      </c>
    </row>
    <row r="1921" spans="1:14" x14ac:dyDescent="0.25">
      <c r="A1921">
        <v>32</v>
      </c>
      <c r="B1921" s="1">
        <v>43987</v>
      </c>
      <c r="C1921" t="s">
        <v>347</v>
      </c>
      <c r="D1921" t="s">
        <v>44</v>
      </c>
      <c r="F1921" t="s">
        <v>138</v>
      </c>
      <c r="G1921">
        <v>1</v>
      </c>
      <c r="H1921">
        <v>35</v>
      </c>
      <c r="I1921">
        <f t="shared" si="1126"/>
        <v>35</v>
      </c>
      <c r="J1921" t="s">
        <v>166</v>
      </c>
      <c r="K1921">
        <v>29</v>
      </c>
      <c r="M1921">
        <f t="shared" si="1127"/>
        <v>29</v>
      </c>
      <c r="N1921">
        <f t="shared" si="1128"/>
        <v>6</v>
      </c>
    </row>
    <row r="1922" spans="1:14" x14ac:dyDescent="0.25">
      <c r="A1922">
        <v>33</v>
      </c>
      <c r="B1922" s="1">
        <v>43987</v>
      </c>
      <c r="C1922" t="s">
        <v>347</v>
      </c>
      <c r="D1922" t="s">
        <v>55</v>
      </c>
      <c r="F1922" t="s">
        <v>111</v>
      </c>
      <c r="G1922">
        <f>4/17</f>
        <v>0.23529411764705882</v>
      </c>
      <c r="H1922">
        <v>300</v>
      </c>
      <c r="I1922">
        <f t="shared" si="1126"/>
        <v>70.588235294117652</v>
      </c>
      <c r="J1922" t="s">
        <v>167</v>
      </c>
      <c r="K1922">
        <v>268</v>
      </c>
      <c r="M1922">
        <f t="shared" si="1127"/>
        <v>63.058823529411761</v>
      </c>
      <c r="N1922">
        <f t="shared" si="1128"/>
        <v>7.5294117647058911</v>
      </c>
    </row>
    <row r="1923" spans="1:14" x14ac:dyDescent="0.25">
      <c r="A1923">
        <v>34</v>
      </c>
      <c r="B1923" s="1">
        <v>43987</v>
      </c>
      <c r="C1923" t="s">
        <v>347</v>
      </c>
      <c r="D1923" t="s">
        <v>15</v>
      </c>
      <c r="F1923" t="s">
        <v>359</v>
      </c>
      <c r="G1923">
        <f>8/10</f>
        <v>0.8</v>
      </c>
      <c r="H1923">
        <v>280</v>
      </c>
      <c r="I1923">
        <f t="shared" si="1126"/>
        <v>224</v>
      </c>
      <c r="J1923" t="s">
        <v>167</v>
      </c>
      <c r="K1923">
        <v>219</v>
      </c>
      <c r="M1923">
        <f t="shared" si="1127"/>
        <v>175.20000000000002</v>
      </c>
      <c r="N1923">
        <f t="shared" si="1128"/>
        <v>48.799999999999983</v>
      </c>
    </row>
    <row r="1924" spans="1:14" x14ac:dyDescent="0.25">
      <c r="A1924">
        <v>35</v>
      </c>
      <c r="B1924" s="1">
        <v>43987</v>
      </c>
      <c r="C1924" t="s">
        <v>347</v>
      </c>
      <c r="D1924" t="s">
        <v>56</v>
      </c>
      <c r="F1924" t="s">
        <v>267</v>
      </c>
      <c r="G1924">
        <v>2</v>
      </c>
      <c r="H1924">
        <v>170</v>
      </c>
      <c r="I1924">
        <f t="shared" ref="I1924:I1932" si="1135">+G1924*H1924</f>
        <v>340</v>
      </c>
      <c r="J1924" t="s">
        <v>163</v>
      </c>
      <c r="K1924">
        <v>123</v>
      </c>
      <c r="M1924">
        <f t="shared" si="1127"/>
        <v>246</v>
      </c>
      <c r="N1924">
        <f t="shared" si="1128"/>
        <v>94</v>
      </c>
    </row>
    <row r="1925" spans="1:14" x14ac:dyDescent="0.25">
      <c r="A1925">
        <v>36</v>
      </c>
      <c r="B1925" s="1">
        <v>43988</v>
      </c>
      <c r="C1925" t="s">
        <v>347</v>
      </c>
      <c r="D1925" t="s">
        <v>85</v>
      </c>
      <c r="F1925" t="s">
        <v>216</v>
      </c>
      <c r="G1925">
        <v>1</v>
      </c>
      <c r="H1925">
        <v>900</v>
      </c>
      <c r="I1925">
        <f t="shared" si="1135"/>
        <v>900</v>
      </c>
      <c r="J1925" t="s">
        <v>167</v>
      </c>
      <c r="K1925">
        <v>480</v>
      </c>
      <c r="M1925">
        <f t="shared" ref="M1925:M1988" si="1136">+IF(K1925=0,(""),(K1925*G1925))</f>
        <v>480</v>
      </c>
      <c r="N1925">
        <f t="shared" ref="N1925:N1988" si="1137">+IF(K1925=0,(""),(I1925-M1925))</f>
        <v>420</v>
      </c>
    </row>
    <row r="1926" spans="1:14" x14ac:dyDescent="0.25">
      <c r="A1926">
        <v>37</v>
      </c>
      <c r="B1926" s="1">
        <v>43988</v>
      </c>
      <c r="C1926" t="s">
        <v>347</v>
      </c>
      <c r="D1926" t="s">
        <v>85</v>
      </c>
      <c r="F1926" t="s">
        <v>253</v>
      </c>
      <c r="G1926">
        <v>1</v>
      </c>
      <c r="H1926">
        <v>900</v>
      </c>
      <c r="I1926">
        <f t="shared" si="1135"/>
        <v>900</v>
      </c>
      <c r="J1926" t="s">
        <v>167</v>
      </c>
      <c r="K1926">
        <v>395</v>
      </c>
      <c r="M1926">
        <f t="shared" si="1136"/>
        <v>395</v>
      </c>
      <c r="N1926">
        <f t="shared" si="1137"/>
        <v>505</v>
      </c>
    </row>
    <row r="1927" spans="1:14" x14ac:dyDescent="0.25">
      <c r="A1927">
        <v>38</v>
      </c>
      <c r="B1927" s="1">
        <v>43988</v>
      </c>
      <c r="C1927" t="s">
        <v>347</v>
      </c>
      <c r="D1927" t="s">
        <v>85</v>
      </c>
      <c r="F1927" t="s">
        <v>355</v>
      </c>
      <c r="G1927">
        <v>1</v>
      </c>
      <c r="H1927">
        <v>100</v>
      </c>
      <c r="I1927">
        <f t="shared" si="1135"/>
        <v>100</v>
      </c>
      <c r="J1927" t="s">
        <v>166</v>
      </c>
      <c r="M1927" t="str">
        <f t="shared" si="1136"/>
        <v/>
      </c>
      <c r="N1927" t="str">
        <f t="shared" si="1137"/>
        <v/>
      </c>
    </row>
    <row r="1928" spans="1:14" x14ac:dyDescent="0.25">
      <c r="A1928">
        <v>39</v>
      </c>
      <c r="B1928" s="1">
        <v>43988</v>
      </c>
      <c r="C1928" t="s">
        <v>347</v>
      </c>
      <c r="D1928" t="s">
        <v>85</v>
      </c>
      <c r="F1928" t="s">
        <v>84</v>
      </c>
      <c r="G1928">
        <v>1</v>
      </c>
      <c r="H1928">
        <v>80</v>
      </c>
      <c r="I1928">
        <f t="shared" si="1135"/>
        <v>80</v>
      </c>
      <c r="J1928" t="s">
        <v>166</v>
      </c>
      <c r="M1928" t="str">
        <f t="shared" si="1136"/>
        <v/>
      </c>
      <c r="N1928" t="str">
        <f t="shared" si="1137"/>
        <v/>
      </c>
    </row>
    <row r="1929" spans="1:14" x14ac:dyDescent="0.25">
      <c r="A1929">
        <v>40</v>
      </c>
      <c r="B1929" s="1">
        <v>43988</v>
      </c>
      <c r="C1929" t="s">
        <v>347</v>
      </c>
      <c r="D1929" t="s">
        <v>56</v>
      </c>
      <c r="F1929" t="s">
        <v>267</v>
      </c>
      <c r="G1929">
        <v>3</v>
      </c>
      <c r="H1929">
        <v>170</v>
      </c>
      <c r="I1929">
        <f t="shared" si="1135"/>
        <v>510</v>
      </c>
      <c r="J1929" t="s">
        <v>163</v>
      </c>
      <c r="K1929">
        <v>123</v>
      </c>
      <c r="M1929">
        <f t="shared" si="1136"/>
        <v>369</v>
      </c>
      <c r="N1929">
        <f t="shared" si="1137"/>
        <v>141</v>
      </c>
    </row>
    <row r="1930" spans="1:14" x14ac:dyDescent="0.25">
      <c r="A1930">
        <v>41</v>
      </c>
      <c r="B1930" s="1">
        <v>43988</v>
      </c>
      <c r="C1930" t="s">
        <v>347</v>
      </c>
      <c r="D1930" t="s">
        <v>15</v>
      </c>
      <c r="F1930" t="s">
        <v>357</v>
      </c>
      <c r="G1930">
        <v>53</v>
      </c>
      <c r="H1930">
        <v>235</v>
      </c>
      <c r="I1930">
        <f t="shared" si="1135"/>
        <v>12455</v>
      </c>
      <c r="J1930" t="s">
        <v>167</v>
      </c>
      <c r="K1930">
        <v>207</v>
      </c>
      <c r="M1930">
        <f t="shared" si="1136"/>
        <v>10971</v>
      </c>
      <c r="N1930">
        <f t="shared" si="1137"/>
        <v>1484</v>
      </c>
    </row>
    <row r="1931" spans="1:14" x14ac:dyDescent="0.25">
      <c r="A1931">
        <v>42</v>
      </c>
      <c r="B1931" s="1">
        <v>43988</v>
      </c>
      <c r="C1931" t="s">
        <v>347</v>
      </c>
      <c r="D1931" t="s">
        <v>56</v>
      </c>
      <c r="F1931" t="s">
        <v>333</v>
      </c>
      <c r="G1931">
        <v>18</v>
      </c>
      <c r="H1931">
        <v>110</v>
      </c>
      <c r="I1931">
        <f t="shared" si="1135"/>
        <v>1980</v>
      </c>
      <c r="J1931" t="s">
        <v>164</v>
      </c>
      <c r="K1931">
        <v>70</v>
      </c>
      <c r="M1931">
        <f t="shared" si="1136"/>
        <v>1260</v>
      </c>
      <c r="N1931">
        <f t="shared" si="1137"/>
        <v>720</v>
      </c>
    </row>
    <row r="1932" spans="1:14" x14ac:dyDescent="0.25">
      <c r="A1932">
        <v>43</v>
      </c>
      <c r="B1932" s="1">
        <v>43988</v>
      </c>
      <c r="C1932" t="s">
        <v>347</v>
      </c>
      <c r="D1932" t="s">
        <v>44</v>
      </c>
      <c r="F1932" t="s">
        <v>138</v>
      </c>
      <c r="G1932">
        <v>1</v>
      </c>
      <c r="H1932">
        <v>35</v>
      </c>
      <c r="I1932">
        <f t="shared" si="1135"/>
        <v>35</v>
      </c>
      <c r="J1932" t="s">
        <v>166</v>
      </c>
      <c r="K1932">
        <v>29</v>
      </c>
      <c r="M1932">
        <f t="shared" si="1136"/>
        <v>29</v>
      </c>
      <c r="N1932">
        <f t="shared" si="1137"/>
        <v>6</v>
      </c>
    </row>
    <row r="1933" spans="1:14" x14ac:dyDescent="0.25">
      <c r="A1933">
        <v>44</v>
      </c>
      <c r="B1933" s="1">
        <v>43988</v>
      </c>
      <c r="C1933" t="s">
        <v>347</v>
      </c>
      <c r="D1933" t="s">
        <v>25</v>
      </c>
      <c r="F1933" t="s">
        <v>25</v>
      </c>
      <c r="G1933">
        <v>15</v>
      </c>
      <c r="H1933">
        <v>60</v>
      </c>
      <c r="I1933">
        <f>+G1933*H1933</f>
        <v>900</v>
      </c>
      <c r="J1933" t="s">
        <v>165</v>
      </c>
      <c r="K1933">
        <v>33</v>
      </c>
      <c r="M1933">
        <f t="shared" si="1136"/>
        <v>495</v>
      </c>
      <c r="N1933">
        <f t="shared" si="1137"/>
        <v>405</v>
      </c>
    </row>
    <row r="1934" spans="1:14" x14ac:dyDescent="0.25">
      <c r="A1934">
        <v>45</v>
      </c>
      <c r="B1934" s="1">
        <v>43988</v>
      </c>
      <c r="C1934" t="s">
        <v>347</v>
      </c>
      <c r="D1934" t="s">
        <v>15</v>
      </c>
      <c r="F1934" t="s">
        <v>29</v>
      </c>
      <c r="G1934">
        <v>25</v>
      </c>
      <c r="H1934">
        <v>215</v>
      </c>
      <c r="I1934">
        <f t="shared" ref="I1934:I1941" si="1138">+G1934*H1934</f>
        <v>5375</v>
      </c>
      <c r="J1934" t="s">
        <v>163</v>
      </c>
      <c r="K1934">
        <v>198</v>
      </c>
      <c r="M1934">
        <f t="shared" si="1136"/>
        <v>4950</v>
      </c>
      <c r="N1934">
        <f t="shared" si="1137"/>
        <v>425</v>
      </c>
    </row>
    <row r="1935" spans="1:14" x14ac:dyDescent="0.25">
      <c r="A1935">
        <v>46</v>
      </c>
      <c r="B1935" s="1">
        <v>43988</v>
      </c>
      <c r="C1935" t="s">
        <v>347</v>
      </c>
      <c r="D1935" t="s">
        <v>44</v>
      </c>
      <c r="F1935" t="s">
        <v>138</v>
      </c>
      <c r="G1935">
        <v>2</v>
      </c>
      <c r="H1935">
        <v>35</v>
      </c>
      <c r="I1935">
        <f t="shared" si="1138"/>
        <v>70</v>
      </c>
      <c r="J1935" t="s">
        <v>166</v>
      </c>
      <c r="K1935">
        <v>29</v>
      </c>
      <c r="M1935">
        <f t="shared" si="1136"/>
        <v>58</v>
      </c>
      <c r="N1935">
        <f t="shared" si="1137"/>
        <v>12</v>
      </c>
    </row>
    <row r="1936" spans="1:14" x14ac:dyDescent="0.25">
      <c r="A1936">
        <v>47</v>
      </c>
      <c r="B1936" s="1">
        <v>43988</v>
      </c>
      <c r="C1936" t="s">
        <v>347</v>
      </c>
      <c r="D1936" t="s">
        <v>15</v>
      </c>
      <c r="F1936" t="s">
        <v>357</v>
      </c>
      <c r="G1936">
        <v>18</v>
      </c>
      <c r="H1936">
        <v>240</v>
      </c>
      <c r="I1936">
        <f t="shared" si="1138"/>
        <v>4320</v>
      </c>
      <c r="J1936" t="s">
        <v>167</v>
      </c>
      <c r="K1936">
        <v>207</v>
      </c>
      <c r="M1936">
        <f t="shared" si="1136"/>
        <v>3726</v>
      </c>
      <c r="N1936">
        <f t="shared" si="1137"/>
        <v>594</v>
      </c>
    </row>
    <row r="1937" spans="1:14" x14ac:dyDescent="0.25">
      <c r="A1937">
        <v>48</v>
      </c>
      <c r="B1937" s="1">
        <v>43988</v>
      </c>
      <c r="C1937" t="s">
        <v>347</v>
      </c>
      <c r="D1937" t="s">
        <v>56</v>
      </c>
      <c r="F1937" t="s">
        <v>267</v>
      </c>
      <c r="G1937">
        <v>7</v>
      </c>
      <c r="H1937">
        <v>170</v>
      </c>
      <c r="I1937">
        <f t="shared" si="1138"/>
        <v>1190</v>
      </c>
      <c r="J1937" t="s">
        <v>163</v>
      </c>
      <c r="K1937">
        <v>123</v>
      </c>
      <c r="M1937">
        <f t="shared" si="1136"/>
        <v>861</v>
      </c>
      <c r="N1937">
        <f t="shared" si="1137"/>
        <v>329</v>
      </c>
    </row>
    <row r="1938" spans="1:14" x14ac:dyDescent="0.25">
      <c r="A1938">
        <v>49</v>
      </c>
      <c r="B1938" s="1">
        <v>43988</v>
      </c>
      <c r="C1938" t="s">
        <v>347</v>
      </c>
      <c r="D1938" t="s">
        <v>25</v>
      </c>
      <c r="F1938" t="s">
        <v>139</v>
      </c>
      <c r="G1938">
        <v>1</v>
      </c>
      <c r="H1938">
        <v>100</v>
      </c>
      <c r="I1938">
        <f t="shared" si="1138"/>
        <v>100</v>
      </c>
      <c r="J1938" t="s">
        <v>163</v>
      </c>
      <c r="K1938">
        <v>70</v>
      </c>
      <c r="M1938">
        <f t="shared" si="1136"/>
        <v>70</v>
      </c>
      <c r="N1938">
        <f t="shared" si="1137"/>
        <v>30</v>
      </c>
    </row>
    <row r="1939" spans="1:14" x14ac:dyDescent="0.25">
      <c r="A1939">
        <v>50</v>
      </c>
      <c r="B1939" s="1">
        <v>43988</v>
      </c>
      <c r="C1939" t="s">
        <v>347</v>
      </c>
      <c r="D1939" t="s">
        <v>25</v>
      </c>
      <c r="F1939" t="s">
        <v>25</v>
      </c>
      <c r="G1939">
        <v>1</v>
      </c>
      <c r="H1939">
        <v>60</v>
      </c>
      <c r="I1939">
        <f t="shared" si="1138"/>
        <v>60</v>
      </c>
      <c r="J1939" t="s">
        <v>165</v>
      </c>
      <c r="K1939">
        <v>33</v>
      </c>
      <c r="M1939">
        <f t="shared" si="1136"/>
        <v>33</v>
      </c>
      <c r="N1939">
        <f t="shared" si="1137"/>
        <v>27</v>
      </c>
    </row>
    <row r="1940" spans="1:14" x14ac:dyDescent="0.25">
      <c r="A1940">
        <v>51</v>
      </c>
      <c r="B1940" s="1">
        <v>43988</v>
      </c>
      <c r="C1940" t="s">
        <v>347</v>
      </c>
      <c r="D1940" t="s">
        <v>56</v>
      </c>
      <c r="F1940" t="s">
        <v>267</v>
      </c>
      <c r="G1940">
        <v>1</v>
      </c>
      <c r="H1940">
        <v>170</v>
      </c>
      <c r="I1940">
        <f t="shared" si="1138"/>
        <v>170</v>
      </c>
      <c r="J1940" t="s">
        <v>163</v>
      </c>
      <c r="K1940">
        <v>123</v>
      </c>
      <c r="M1940">
        <f t="shared" si="1136"/>
        <v>123</v>
      </c>
      <c r="N1940">
        <f t="shared" si="1137"/>
        <v>47</v>
      </c>
    </row>
    <row r="1941" spans="1:14" x14ac:dyDescent="0.25">
      <c r="A1941">
        <v>52</v>
      </c>
      <c r="B1941" s="1">
        <v>43988</v>
      </c>
      <c r="C1941" t="s">
        <v>347</v>
      </c>
      <c r="D1941" t="s">
        <v>15</v>
      </c>
      <c r="F1941" t="s">
        <v>29</v>
      </c>
      <c r="G1941">
        <v>3</v>
      </c>
      <c r="H1941">
        <v>230</v>
      </c>
      <c r="I1941">
        <f t="shared" si="1138"/>
        <v>690</v>
      </c>
      <c r="J1941" t="s">
        <v>163</v>
      </c>
      <c r="K1941">
        <v>210</v>
      </c>
      <c r="M1941">
        <f t="shared" si="1136"/>
        <v>630</v>
      </c>
      <c r="N1941">
        <f t="shared" si="1137"/>
        <v>60</v>
      </c>
    </row>
    <row r="1942" spans="1:14" x14ac:dyDescent="0.25">
      <c r="A1942">
        <v>53</v>
      </c>
      <c r="B1942" s="1">
        <v>43990</v>
      </c>
      <c r="C1942" t="s">
        <v>347</v>
      </c>
      <c r="D1942" t="s">
        <v>15</v>
      </c>
      <c r="F1942" t="s">
        <v>356</v>
      </c>
      <c r="G1942">
        <v>1</v>
      </c>
      <c r="H1942">
        <v>240</v>
      </c>
      <c r="I1942">
        <f>+G1942*H1942</f>
        <v>240</v>
      </c>
      <c r="J1942" t="s">
        <v>167</v>
      </c>
      <c r="K1942">
        <v>207</v>
      </c>
      <c r="M1942">
        <f t="shared" si="1136"/>
        <v>207</v>
      </c>
      <c r="N1942">
        <f t="shared" si="1137"/>
        <v>33</v>
      </c>
    </row>
    <row r="1943" spans="1:14" x14ac:dyDescent="0.25">
      <c r="A1943">
        <v>54</v>
      </c>
      <c r="B1943" s="1">
        <v>43990</v>
      </c>
      <c r="C1943" t="s">
        <v>347</v>
      </c>
      <c r="D1943" t="s">
        <v>55</v>
      </c>
      <c r="F1943" t="s">
        <v>61</v>
      </c>
      <c r="G1943">
        <v>18</v>
      </c>
      <c r="H1943">
        <v>230</v>
      </c>
      <c r="I1943">
        <f>+G1943*H1943</f>
        <v>4140</v>
      </c>
      <c r="J1943" t="s">
        <v>163</v>
      </c>
      <c r="K1943">
        <v>177</v>
      </c>
      <c r="M1943">
        <f t="shared" si="1136"/>
        <v>3186</v>
      </c>
      <c r="N1943">
        <f t="shared" si="1137"/>
        <v>954</v>
      </c>
    </row>
    <row r="1944" spans="1:14" x14ac:dyDescent="0.25">
      <c r="A1944">
        <v>55</v>
      </c>
      <c r="B1944" s="1">
        <v>43990</v>
      </c>
      <c r="C1944" t="s">
        <v>347</v>
      </c>
      <c r="D1944" t="s">
        <v>56</v>
      </c>
      <c r="F1944" t="s">
        <v>38</v>
      </c>
      <c r="G1944">
        <v>1</v>
      </c>
      <c r="H1944">
        <v>100</v>
      </c>
      <c r="I1944">
        <f t="shared" ref="I1944:I2008" si="1139">+G1944*H1944</f>
        <v>100</v>
      </c>
      <c r="J1944" t="s">
        <v>164</v>
      </c>
      <c r="K1944">
        <v>70</v>
      </c>
      <c r="M1944">
        <f t="shared" si="1136"/>
        <v>70</v>
      </c>
      <c r="N1944">
        <f t="shared" si="1137"/>
        <v>30</v>
      </c>
    </row>
    <row r="1945" spans="1:14" x14ac:dyDescent="0.25">
      <c r="A1945">
        <v>56</v>
      </c>
      <c r="B1945" s="1">
        <v>43990</v>
      </c>
      <c r="C1945" t="s">
        <v>347</v>
      </c>
      <c r="D1945" t="s">
        <v>24</v>
      </c>
      <c r="F1945" t="s">
        <v>24</v>
      </c>
      <c r="G1945">
        <v>6.4</v>
      </c>
      <c r="H1945">
        <v>100</v>
      </c>
      <c r="I1945">
        <f t="shared" si="1139"/>
        <v>640</v>
      </c>
      <c r="J1945" t="s">
        <v>186</v>
      </c>
      <c r="K1945">
        <v>68.22</v>
      </c>
      <c r="M1945">
        <f t="shared" si="1136"/>
        <v>436.608</v>
      </c>
      <c r="N1945">
        <f t="shared" si="1137"/>
        <v>203.392</v>
      </c>
    </row>
    <row r="1946" spans="1:14" x14ac:dyDescent="0.25">
      <c r="A1946">
        <v>57</v>
      </c>
      <c r="B1946" s="1">
        <v>43990</v>
      </c>
      <c r="C1946" t="s">
        <v>347</v>
      </c>
      <c r="D1946" t="s">
        <v>56</v>
      </c>
      <c r="F1946" t="s">
        <v>267</v>
      </c>
      <c r="G1946">
        <v>10</v>
      </c>
      <c r="H1946">
        <v>170</v>
      </c>
      <c r="I1946">
        <f t="shared" si="1139"/>
        <v>1700</v>
      </c>
      <c r="J1946" t="s">
        <v>163</v>
      </c>
      <c r="K1946">
        <v>123</v>
      </c>
      <c r="M1946">
        <f t="shared" si="1136"/>
        <v>1230</v>
      </c>
      <c r="N1946">
        <f t="shared" si="1137"/>
        <v>470</v>
      </c>
    </row>
    <row r="1947" spans="1:14" x14ac:dyDescent="0.25">
      <c r="A1947">
        <v>58</v>
      </c>
      <c r="B1947" s="1">
        <v>43990</v>
      </c>
      <c r="C1947" t="s">
        <v>347</v>
      </c>
      <c r="D1947" t="s">
        <v>44</v>
      </c>
      <c r="F1947" t="s">
        <v>138</v>
      </c>
      <c r="G1947">
        <v>1</v>
      </c>
      <c r="H1947">
        <v>35</v>
      </c>
      <c r="I1947">
        <f t="shared" si="1139"/>
        <v>35</v>
      </c>
      <c r="J1947" t="s">
        <v>198</v>
      </c>
      <c r="K1947">
        <v>29</v>
      </c>
      <c r="M1947">
        <f t="shared" si="1136"/>
        <v>29</v>
      </c>
      <c r="N1947">
        <f t="shared" si="1137"/>
        <v>6</v>
      </c>
    </row>
    <row r="1948" spans="1:14" x14ac:dyDescent="0.25">
      <c r="A1948">
        <v>59</v>
      </c>
      <c r="B1948" s="1">
        <v>43990</v>
      </c>
      <c r="C1948" t="s">
        <v>347</v>
      </c>
      <c r="D1948" t="s">
        <v>25</v>
      </c>
      <c r="F1948" t="s">
        <v>145</v>
      </c>
      <c r="G1948">
        <v>4</v>
      </c>
      <c r="H1948">
        <v>100</v>
      </c>
      <c r="I1948">
        <f t="shared" si="1139"/>
        <v>400</v>
      </c>
      <c r="J1948" t="s">
        <v>163</v>
      </c>
      <c r="K1948">
        <v>70</v>
      </c>
      <c r="M1948">
        <f t="shared" si="1136"/>
        <v>280</v>
      </c>
      <c r="N1948">
        <f t="shared" si="1137"/>
        <v>120</v>
      </c>
    </row>
    <row r="1949" spans="1:14" x14ac:dyDescent="0.25">
      <c r="A1949">
        <v>60</v>
      </c>
      <c r="B1949" s="1">
        <v>43990</v>
      </c>
      <c r="C1949" t="s">
        <v>347</v>
      </c>
      <c r="D1949" t="s">
        <v>15</v>
      </c>
      <c r="F1949" t="s">
        <v>80</v>
      </c>
      <c r="G1949">
        <v>30</v>
      </c>
      <c r="H1949">
        <v>240</v>
      </c>
      <c r="I1949">
        <f t="shared" si="1139"/>
        <v>7200</v>
      </c>
      <c r="J1949" t="s">
        <v>163</v>
      </c>
      <c r="K1949">
        <v>212</v>
      </c>
      <c r="M1949">
        <f t="shared" si="1136"/>
        <v>6360</v>
      </c>
      <c r="N1949">
        <f t="shared" si="1137"/>
        <v>840</v>
      </c>
    </row>
    <row r="1950" spans="1:14" x14ac:dyDescent="0.25">
      <c r="A1950">
        <v>61</v>
      </c>
      <c r="B1950" s="1">
        <v>43990</v>
      </c>
      <c r="C1950" t="s">
        <v>347</v>
      </c>
      <c r="D1950" t="s">
        <v>25</v>
      </c>
      <c r="F1950" t="s">
        <v>61</v>
      </c>
      <c r="G1950">
        <v>2</v>
      </c>
      <c r="H1950">
        <v>60</v>
      </c>
      <c r="I1950">
        <f t="shared" si="1139"/>
        <v>120</v>
      </c>
      <c r="J1950" t="s">
        <v>165</v>
      </c>
      <c r="K1950">
        <v>33</v>
      </c>
      <c r="M1950">
        <f t="shared" si="1136"/>
        <v>66</v>
      </c>
      <c r="N1950">
        <f t="shared" si="1137"/>
        <v>54</v>
      </c>
    </row>
    <row r="1951" spans="1:14" x14ac:dyDescent="0.25">
      <c r="A1951">
        <v>62</v>
      </c>
      <c r="B1951" s="1">
        <v>43990</v>
      </c>
      <c r="C1951" t="s">
        <v>347</v>
      </c>
      <c r="D1951" t="s">
        <v>15</v>
      </c>
      <c r="F1951" t="s">
        <v>29</v>
      </c>
      <c r="G1951">
        <f>5/9</f>
        <v>0.55555555555555558</v>
      </c>
      <c r="H1951">
        <v>240</v>
      </c>
      <c r="I1951">
        <f t="shared" si="1139"/>
        <v>133.33333333333334</v>
      </c>
      <c r="J1951" t="s">
        <v>163</v>
      </c>
      <c r="K1951">
        <v>210</v>
      </c>
      <c r="M1951">
        <f t="shared" si="1136"/>
        <v>116.66666666666667</v>
      </c>
      <c r="N1951">
        <f t="shared" si="1137"/>
        <v>16.666666666666671</v>
      </c>
    </row>
    <row r="1952" spans="1:14" x14ac:dyDescent="0.25">
      <c r="A1952">
        <v>63</v>
      </c>
      <c r="B1952" s="1">
        <v>43990</v>
      </c>
      <c r="C1952" t="s">
        <v>347</v>
      </c>
      <c r="D1952" t="s">
        <v>70</v>
      </c>
      <c r="F1952" t="s">
        <v>151</v>
      </c>
      <c r="G1952">
        <v>1</v>
      </c>
      <c r="H1952">
        <v>1800</v>
      </c>
      <c r="I1952">
        <f t="shared" si="1139"/>
        <v>1800</v>
      </c>
      <c r="J1952" t="s">
        <v>167</v>
      </c>
      <c r="K1952">
        <v>1580</v>
      </c>
      <c r="M1952">
        <f t="shared" si="1136"/>
        <v>1580</v>
      </c>
      <c r="N1952">
        <f t="shared" si="1137"/>
        <v>220</v>
      </c>
    </row>
    <row r="1953" spans="1:14" x14ac:dyDescent="0.25">
      <c r="A1953">
        <v>64</v>
      </c>
      <c r="B1953" s="1">
        <v>43990</v>
      </c>
      <c r="C1953" t="s">
        <v>347</v>
      </c>
      <c r="D1953" t="s">
        <v>55</v>
      </c>
      <c r="F1953" t="s">
        <v>89</v>
      </c>
      <c r="G1953">
        <v>2.5</v>
      </c>
      <c r="H1953">
        <v>300</v>
      </c>
      <c r="I1953">
        <f t="shared" si="1139"/>
        <v>750</v>
      </c>
      <c r="J1953" t="s">
        <v>167</v>
      </c>
      <c r="K1953">
        <v>268</v>
      </c>
      <c r="M1953">
        <f t="shared" si="1136"/>
        <v>670</v>
      </c>
      <c r="N1953">
        <f t="shared" si="1137"/>
        <v>80</v>
      </c>
    </row>
    <row r="1954" spans="1:14" x14ac:dyDescent="0.25">
      <c r="A1954">
        <v>65</v>
      </c>
      <c r="B1954" s="1">
        <v>43990</v>
      </c>
      <c r="C1954" t="s">
        <v>347</v>
      </c>
      <c r="D1954" t="s">
        <v>15</v>
      </c>
      <c r="F1954" t="s">
        <v>45</v>
      </c>
      <c r="G1954">
        <f>1/9</f>
        <v>0.1111111111111111</v>
      </c>
      <c r="H1954">
        <v>300</v>
      </c>
      <c r="I1954">
        <f t="shared" si="1139"/>
        <v>33.333333333333329</v>
      </c>
      <c r="J1954" t="s">
        <v>167</v>
      </c>
      <c r="K1954">
        <v>268</v>
      </c>
      <c r="M1954">
        <f t="shared" si="1136"/>
        <v>29.777777777777775</v>
      </c>
      <c r="N1954">
        <f t="shared" si="1137"/>
        <v>3.5555555555555536</v>
      </c>
    </row>
    <row r="1955" spans="1:14" x14ac:dyDescent="0.25">
      <c r="A1955">
        <v>66</v>
      </c>
      <c r="B1955" s="1">
        <v>43991</v>
      </c>
      <c r="C1955" t="s">
        <v>347</v>
      </c>
      <c r="D1955" t="s">
        <v>15</v>
      </c>
      <c r="F1955" t="s">
        <v>153</v>
      </c>
      <c r="G1955">
        <v>6.5</v>
      </c>
      <c r="H1955">
        <v>280</v>
      </c>
      <c r="I1955">
        <f t="shared" si="1139"/>
        <v>1820</v>
      </c>
      <c r="J1955" t="s">
        <v>163</v>
      </c>
      <c r="K1955">
        <v>220</v>
      </c>
      <c r="M1955">
        <f t="shared" si="1136"/>
        <v>1430</v>
      </c>
      <c r="N1955">
        <f t="shared" si="1137"/>
        <v>390</v>
      </c>
    </row>
    <row r="1956" spans="1:14" x14ac:dyDescent="0.25">
      <c r="A1956">
        <v>67</v>
      </c>
      <c r="B1956" s="1">
        <v>43991</v>
      </c>
      <c r="C1956" t="s">
        <v>347</v>
      </c>
      <c r="D1956" t="s">
        <v>15</v>
      </c>
      <c r="F1956" t="s">
        <v>29</v>
      </c>
      <c r="G1956">
        <v>1</v>
      </c>
      <c r="H1956">
        <v>240</v>
      </c>
      <c r="I1956">
        <f t="shared" si="1139"/>
        <v>240</v>
      </c>
      <c r="J1956" t="s">
        <v>163</v>
      </c>
      <c r="K1956">
        <v>210</v>
      </c>
      <c r="M1956">
        <f t="shared" si="1136"/>
        <v>210</v>
      </c>
      <c r="N1956">
        <f t="shared" si="1137"/>
        <v>30</v>
      </c>
    </row>
    <row r="1957" spans="1:14" x14ac:dyDescent="0.25">
      <c r="A1957">
        <v>68</v>
      </c>
      <c r="B1957" s="1">
        <v>43991</v>
      </c>
      <c r="C1957" t="s">
        <v>347</v>
      </c>
      <c r="D1957" t="s">
        <v>25</v>
      </c>
      <c r="F1957" t="s">
        <v>148</v>
      </c>
      <c r="G1957">
        <v>1</v>
      </c>
      <c r="H1957">
        <v>60</v>
      </c>
      <c r="I1957">
        <f t="shared" si="1139"/>
        <v>60</v>
      </c>
      <c r="J1957" t="s">
        <v>165</v>
      </c>
      <c r="K1957">
        <v>33</v>
      </c>
      <c r="M1957">
        <f t="shared" si="1136"/>
        <v>33</v>
      </c>
      <c r="N1957">
        <f t="shared" si="1137"/>
        <v>27</v>
      </c>
    </row>
    <row r="1958" spans="1:14" x14ac:dyDescent="0.25">
      <c r="A1958">
        <v>69</v>
      </c>
      <c r="B1958" s="1">
        <v>43991</v>
      </c>
      <c r="C1958" t="s">
        <v>347</v>
      </c>
      <c r="D1958" t="s">
        <v>15</v>
      </c>
      <c r="F1958" t="s">
        <v>252</v>
      </c>
      <c r="G1958">
        <f>4/9</f>
        <v>0.44444444444444442</v>
      </c>
      <c r="H1958">
        <v>280</v>
      </c>
      <c r="I1958">
        <f t="shared" si="1139"/>
        <v>124.44444444444444</v>
      </c>
      <c r="J1958" t="s">
        <v>163</v>
      </c>
      <c r="K1958">
        <v>247</v>
      </c>
      <c r="M1958">
        <f t="shared" si="1136"/>
        <v>109.77777777777777</v>
      </c>
      <c r="N1958">
        <f t="shared" si="1137"/>
        <v>14.666666666666671</v>
      </c>
    </row>
    <row r="1959" spans="1:14" x14ac:dyDescent="0.25">
      <c r="A1959">
        <v>70</v>
      </c>
      <c r="B1959" s="1">
        <v>43991</v>
      </c>
      <c r="C1959" t="s">
        <v>347</v>
      </c>
      <c r="D1959" t="s">
        <v>15</v>
      </c>
      <c r="F1959" t="s">
        <v>346</v>
      </c>
      <c r="G1959">
        <v>11</v>
      </c>
      <c r="H1959">
        <v>280</v>
      </c>
      <c r="I1959">
        <f t="shared" si="1139"/>
        <v>3080</v>
      </c>
      <c r="J1959" t="s">
        <v>167</v>
      </c>
      <c r="K1959">
        <v>219</v>
      </c>
      <c r="M1959">
        <f t="shared" si="1136"/>
        <v>2409</v>
      </c>
      <c r="N1959">
        <f t="shared" si="1137"/>
        <v>671</v>
      </c>
    </row>
    <row r="1960" spans="1:14" x14ac:dyDescent="0.25">
      <c r="A1960">
        <v>71</v>
      </c>
      <c r="B1960" s="1">
        <v>43991</v>
      </c>
      <c r="C1960" t="s">
        <v>347</v>
      </c>
      <c r="D1960" t="s">
        <v>24</v>
      </c>
      <c r="F1960" t="s">
        <v>24</v>
      </c>
      <c r="G1960">
        <v>1</v>
      </c>
      <c r="H1960">
        <v>100</v>
      </c>
      <c r="I1960">
        <f t="shared" si="1139"/>
        <v>100</v>
      </c>
      <c r="J1960" t="s">
        <v>186</v>
      </c>
      <c r="K1960">
        <v>68.22</v>
      </c>
      <c r="M1960">
        <f t="shared" si="1136"/>
        <v>68.22</v>
      </c>
      <c r="N1960">
        <f t="shared" si="1137"/>
        <v>31.78</v>
      </c>
    </row>
    <row r="1961" spans="1:14" x14ac:dyDescent="0.25">
      <c r="A1961">
        <v>72</v>
      </c>
      <c r="B1961" s="1">
        <v>43991</v>
      </c>
      <c r="C1961" t="s">
        <v>347</v>
      </c>
      <c r="D1961" t="s">
        <v>44</v>
      </c>
      <c r="F1961" t="s">
        <v>138</v>
      </c>
      <c r="G1961">
        <v>1</v>
      </c>
      <c r="H1961">
        <v>35</v>
      </c>
      <c r="I1961">
        <f t="shared" si="1139"/>
        <v>35</v>
      </c>
      <c r="J1961" t="s">
        <v>198</v>
      </c>
      <c r="K1961">
        <v>29</v>
      </c>
      <c r="M1961">
        <f t="shared" si="1136"/>
        <v>29</v>
      </c>
      <c r="N1961">
        <f t="shared" si="1137"/>
        <v>6</v>
      </c>
    </row>
    <row r="1962" spans="1:14" x14ac:dyDescent="0.25">
      <c r="A1962">
        <v>73</v>
      </c>
      <c r="B1962" s="1">
        <v>43991</v>
      </c>
      <c r="C1962" t="s">
        <v>347</v>
      </c>
      <c r="D1962" t="s">
        <v>15</v>
      </c>
      <c r="F1962" t="s">
        <v>356</v>
      </c>
      <c r="G1962">
        <v>1</v>
      </c>
      <c r="H1962">
        <v>240</v>
      </c>
      <c r="I1962">
        <f t="shared" si="1139"/>
        <v>240</v>
      </c>
      <c r="J1962" t="s">
        <v>167</v>
      </c>
      <c r="K1962">
        <v>207</v>
      </c>
      <c r="M1962">
        <f t="shared" si="1136"/>
        <v>207</v>
      </c>
      <c r="N1962">
        <f t="shared" si="1137"/>
        <v>33</v>
      </c>
    </row>
    <row r="1963" spans="1:14" x14ac:dyDescent="0.25">
      <c r="A1963">
        <v>74</v>
      </c>
      <c r="B1963" s="1">
        <v>43991</v>
      </c>
      <c r="C1963" t="s">
        <v>347</v>
      </c>
      <c r="D1963" t="s">
        <v>55</v>
      </c>
      <c r="F1963" t="s">
        <v>149</v>
      </c>
      <c r="G1963">
        <v>3</v>
      </c>
      <c r="H1963">
        <v>300</v>
      </c>
      <c r="I1963">
        <f t="shared" si="1139"/>
        <v>900</v>
      </c>
      <c r="J1963" t="s">
        <v>167</v>
      </c>
      <c r="K1963">
        <v>268</v>
      </c>
      <c r="M1963">
        <f t="shared" si="1136"/>
        <v>804</v>
      </c>
      <c r="N1963">
        <f t="shared" si="1137"/>
        <v>96</v>
      </c>
    </row>
    <row r="1964" spans="1:14" x14ac:dyDescent="0.25">
      <c r="A1964">
        <v>75</v>
      </c>
      <c r="B1964" s="1">
        <v>43991</v>
      </c>
      <c r="C1964" t="s">
        <v>347</v>
      </c>
      <c r="D1964" t="s">
        <v>15</v>
      </c>
      <c r="F1964" t="s">
        <v>20</v>
      </c>
      <c r="G1964">
        <v>98</v>
      </c>
      <c r="H1964">
        <v>240</v>
      </c>
      <c r="I1964">
        <f t="shared" si="1139"/>
        <v>23520</v>
      </c>
      <c r="J1964" t="s">
        <v>163</v>
      </c>
      <c r="K1964">
        <v>217</v>
      </c>
      <c r="M1964">
        <f t="shared" si="1136"/>
        <v>21266</v>
      </c>
      <c r="N1964">
        <f t="shared" si="1137"/>
        <v>2254</v>
      </c>
    </row>
    <row r="1965" spans="1:14" x14ac:dyDescent="0.25">
      <c r="A1965">
        <v>76</v>
      </c>
      <c r="B1965" s="1">
        <v>43991</v>
      </c>
      <c r="C1965" t="s">
        <v>347</v>
      </c>
      <c r="D1965" t="s">
        <v>56</v>
      </c>
      <c r="F1965" t="s">
        <v>267</v>
      </c>
      <c r="G1965">
        <v>30</v>
      </c>
      <c r="H1965">
        <v>170</v>
      </c>
      <c r="I1965">
        <f t="shared" si="1139"/>
        <v>5100</v>
      </c>
      <c r="J1965" t="s">
        <v>163</v>
      </c>
      <c r="K1965">
        <v>123</v>
      </c>
      <c r="M1965">
        <f t="shared" si="1136"/>
        <v>3690</v>
      </c>
      <c r="N1965">
        <f t="shared" si="1137"/>
        <v>1410</v>
      </c>
    </row>
    <row r="1966" spans="1:14" x14ac:dyDescent="0.25">
      <c r="A1966">
        <v>77</v>
      </c>
      <c r="B1966" s="1">
        <v>43991</v>
      </c>
      <c r="C1966" t="s">
        <v>347</v>
      </c>
      <c r="D1966" t="s">
        <v>44</v>
      </c>
      <c r="F1966" t="s">
        <v>138</v>
      </c>
      <c r="G1966">
        <v>3</v>
      </c>
      <c r="H1966">
        <v>35</v>
      </c>
      <c r="I1966">
        <f t="shared" si="1139"/>
        <v>105</v>
      </c>
      <c r="J1966" t="s">
        <v>198</v>
      </c>
      <c r="K1966">
        <v>29</v>
      </c>
      <c r="M1966">
        <f t="shared" si="1136"/>
        <v>87</v>
      </c>
      <c r="N1966">
        <f t="shared" si="1137"/>
        <v>18</v>
      </c>
    </row>
    <row r="1967" spans="1:14" x14ac:dyDescent="0.25">
      <c r="A1967">
        <v>78</v>
      </c>
      <c r="B1967" s="1">
        <v>43991</v>
      </c>
      <c r="C1967" t="s">
        <v>347</v>
      </c>
      <c r="D1967" t="s">
        <v>25</v>
      </c>
      <c r="F1967" t="s">
        <v>61</v>
      </c>
      <c r="G1967">
        <v>9</v>
      </c>
      <c r="H1967">
        <v>60</v>
      </c>
      <c r="I1967">
        <f t="shared" si="1139"/>
        <v>540</v>
      </c>
      <c r="J1967" t="s">
        <v>165</v>
      </c>
      <c r="K1967">
        <v>33</v>
      </c>
      <c r="M1967">
        <f t="shared" si="1136"/>
        <v>297</v>
      </c>
      <c r="N1967">
        <f t="shared" si="1137"/>
        <v>243</v>
      </c>
    </row>
    <row r="1968" spans="1:14" x14ac:dyDescent="0.25">
      <c r="A1968">
        <v>79</v>
      </c>
      <c r="B1968" s="1">
        <v>43991</v>
      </c>
      <c r="C1968" t="s">
        <v>347</v>
      </c>
      <c r="D1968" t="s">
        <v>25</v>
      </c>
      <c r="F1968" t="s">
        <v>148</v>
      </c>
      <c r="G1968">
        <v>1</v>
      </c>
      <c r="H1968">
        <v>60</v>
      </c>
      <c r="I1968">
        <f t="shared" si="1139"/>
        <v>60</v>
      </c>
      <c r="J1968" t="s">
        <v>165</v>
      </c>
      <c r="K1968">
        <v>33</v>
      </c>
      <c r="M1968">
        <f t="shared" si="1136"/>
        <v>33</v>
      </c>
      <c r="N1968">
        <f t="shared" si="1137"/>
        <v>27</v>
      </c>
    </row>
    <row r="1969" spans="1:14" x14ac:dyDescent="0.25">
      <c r="A1969">
        <v>80</v>
      </c>
      <c r="B1969" s="1">
        <v>43991</v>
      </c>
      <c r="C1969" t="s">
        <v>347</v>
      </c>
      <c r="D1969" t="s">
        <v>24</v>
      </c>
      <c r="F1969" t="s">
        <v>24</v>
      </c>
      <c r="G1969">
        <v>2</v>
      </c>
      <c r="H1969">
        <v>100</v>
      </c>
      <c r="I1969">
        <f t="shared" si="1139"/>
        <v>200</v>
      </c>
      <c r="J1969" t="s">
        <v>186</v>
      </c>
      <c r="K1969">
        <v>68.22</v>
      </c>
      <c r="M1969">
        <f t="shared" si="1136"/>
        <v>136.44</v>
      </c>
      <c r="N1969">
        <f t="shared" si="1137"/>
        <v>63.56</v>
      </c>
    </row>
    <row r="1970" spans="1:14" x14ac:dyDescent="0.25">
      <c r="A1970">
        <v>81</v>
      </c>
      <c r="B1970" s="1">
        <v>43991</v>
      </c>
      <c r="C1970" t="s">
        <v>347</v>
      </c>
      <c r="D1970" t="s">
        <v>25</v>
      </c>
      <c r="F1970" t="s">
        <v>337</v>
      </c>
      <c r="G1970">
        <v>2</v>
      </c>
      <c r="H1970">
        <v>60</v>
      </c>
      <c r="I1970">
        <f t="shared" si="1139"/>
        <v>120</v>
      </c>
      <c r="J1970" t="s">
        <v>165</v>
      </c>
      <c r="K1970">
        <v>33</v>
      </c>
      <c r="M1970">
        <f t="shared" si="1136"/>
        <v>66</v>
      </c>
      <c r="N1970">
        <f t="shared" si="1137"/>
        <v>54</v>
      </c>
    </row>
    <row r="1971" spans="1:14" x14ac:dyDescent="0.25">
      <c r="A1971">
        <v>82</v>
      </c>
      <c r="B1971" s="1">
        <v>43991</v>
      </c>
      <c r="C1971" t="s">
        <v>347</v>
      </c>
      <c r="D1971" t="s">
        <v>55</v>
      </c>
      <c r="F1971" t="s">
        <v>111</v>
      </c>
      <c r="G1971">
        <v>1</v>
      </c>
      <c r="H1971">
        <v>300</v>
      </c>
      <c r="I1971">
        <f t="shared" si="1139"/>
        <v>300</v>
      </c>
      <c r="J1971" t="s">
        <v>167</v>
      </c>
      <c r="K1971">
        <v>268</v>
      </c>
      <c r="M1971">
        <f t="shared" si="1136"/>
        <v>268</v>
      </c>
      <c r="N1971">
        <f t="shared" si="1137"/>
        <v>32</v>
      </c>
    </row>
    <row r="1972" spans="1:14" x14ac:dyDescent="0.25">
      <c r="A1972">
        <v>83</v>
      </c>
      <c r="B1972" s="1">
        <v>43991</v>
      </c>
      <c r="C1972" t="s">
        <v>347</v>
      </c>
      <c r="D1972" t="s">
        <v>70</v>
      </c>
      <c r="F1972" t="s">
        <v>227</v>
      </c>
      <c r="G1972">
        <v>1</v>
      </c>
      <c r="H1972">
        <v>1600</v>
      </c>
      <c r="I1972">
        <f t="shared" si="1139"/>
        <v>1600</v>
      </c>
      <c r="J1972" t="s">
        <v>167</v>
      </c>
      <c r="K1972">
        <v>1440</v>
      </c>
      <c r="M1972">
        <f t="shared" si="1136"/>
        <v>1440</v>
      </c>
      <c r="N1972">
        <f t="shared" si="1137"/>
        <v>160</v>
      </c>
    </row>
    <row r="1973" spans="1:14" x14ac:dyDescent="0.25">
      <c r="A1973">
        <v>84</v>
      </c>
      <c r="B1973" s="1">
        <v>43991</v>
      </c>
      <c r="C1973" t="s">
        <v>347</v>
      </c>
      <c r="D1973" t="s">
        <v>56</v>
      </c>
      <c r="F1973" t="s">
        <v>267</v>
      </c>
      <c r="G1973">
        <v>5</v>
      </c>
      <c r="H1973">
        <v>170</v>
      </c>
      <c r="I1973">
        <f t="shared" si="1139"/>
        <v>850</v>
      </c>
      <c r="J1973" t="s">
        <v>163</v>
      </c>
      <c r="K1973">
        <v>123</v>
      </c>
      <c r="M1973">
        <f t="shared" si="1136"/>
        <v>615</v>
      </c>
      <c r="N1973">
        <f t="shared" si="1137"/>
        <v>235</v>
      </c>
    </row>
    <row r="1974" spans="1:14" x14ac:dyDescent="0.25">
      <c r="A1974">
        <v>85</v>
      </c>
      <c r="B1974" s="1">
        <v>43991</v>
      </c>
      <c r="C1974" t="s">
        <v>347</v>
      </c>
      <c r="D1974" t="s">
        <v>44</v>
      </c>
      <c r="F1974" t="s">
        <v>77</v>
      </c>
      <c r="G1974">
        <v>1</v>
      </c>
      <c r="H1974">
        <v>35</v>
      </c>
      <c r="I1974">
        <f t="shared" si="1139"/>
        <v>35</v>
      </c>
      <c r="J1974" t="s">
        <v>198</v>
      </c>
      <c r="K1974">
        <v>29</v>
      </c>
      <c r="M1974">
        <f t="shared" si="1136"/>
        <v>29</v>
      </c>
      <c r="N1974">
        <f t="shared" si="1137"/>
        <v>6</v>
      </c>
    </row>
    <row r="1975" spans="1:14" x14ac:dyDescent="0.25">
      <c r="A1975">
        <v>86</v>
      </c>
      <c r="B1975" s="1">
        <v>43992</v>
      </c>
      <c r="C1975" t="s">
        <v>347</v>
      </c>
      <c r="D1975" t="s">
        <v>15</v>
      </c>
      <c r="F1975" t="s">
        <v>45</v>
      </c>
      <c r="G1975">
        <v>1</v>
      </c>
      <c r="H1975">
        <v>300</v>
      </c>
      <c r="I1975">
        <f t="shared" si="1139"/>
        <v>300</v>
      </c>
      <c r="J1975" t="s">
        <v>167</v>
      </c>
      <c r="K1975">
        <v>268</v>
      </c>
      <c r="M1975">
        <f t="shared" si="1136"/>
        <v>268</v>
      </c>
      <c r="N1975">
        <f t="shared" si="1137"/>
        <v>32</v>
      </c>
    </row>
    <row r="1976" spans="1:14" x14ac:dyDescent="0.25">
      <c r="A1976">
        <v>87</v>
      </c>
      <c r="B1976" s="1">
        <v>43992</v>
      </c>
      <c r="C1976" t="s">
        <v>347</v>
      </c>
      <c r="D1976" t="s">
        <v>56</v>
      </c>
      <c r="F1976" t="s">
        <v>38</v>
      </c>
      <c r="G1976">
        <v>1</v>
      </c>
      <c r="H1976">
        <v>110</v>
      </c>
      <c r="I1976">
        <f t="shared" si="1139"/>
        <v>110</v>
      </c>
      <c r="J1976" t="s">
        <v>164</v>
      </c>
      <c r="K1976">
        <v>70</v>
      </c>
      <c r="M1976">
        <f t="shared" si="1136"/>
        <v>70</v>
      </c>
      <c r="N1976">
        <f t="shared" si="1137"/>
        <v>40</v>
      </c>
    </row>
    <row r="1977" spans="1:14" x14ac:dyDescent="0.25">
      <c r="A1977">
        <v>88</v>
      </c>
      <c r="B1977" s="1">
        <v>43992</v>
      </c>
      <c r="C1977" t="s">
        <v>347</v>
      </c>
      <c r="D1977" t="s">
        <v>15</v>
      </c>
      <c r="F1977" t="s">
        <v>33</v>
      </c>
      <c r="G1977">
        <v>3</v>
      </c>
      <c r="H1977">
        <v>280</v>
      </c>
      <c r="I1977">
        <f t="shared" si="1139"/>
        <v>840</v>
      </c>
      <c r="J1977" t="s">
        <v>163</v>
      </c>
      <c r="K1977">
        <v>230</v>
      </c>
      <c r="M1977">
        <f t="shared" si="1136"/>
        <v>690</v>
      </c>
      <c r="N1977">
        <f t="shared" si="1137"/>
        <v>150</v>
      </c>
    </row>
    <row r="1978" spans="1:14" x14ac:dyDescent="0.25">
      <c r="A1978">
        <v>89</v>
      </c>
      <c r="B1978" s="1">
        <v>43992</v>
      </c>
      <c r="C1978" t="s">
        <v>347</v>
      </c>
      <c r="D1978" t="s">
        <v>44</v>
      </c>
      <c r="F1978" t="s">
        <v>138</v>
      </c>
      <c r="G1978">
        <v>1</v>
      </c>
      <c r="H1978">
        <v>35</v>
      </c>
      <c r="I1978">
        <f t="shared" si="1139"/>
        <v>35</v>
      </c>
      <c r="J1978" t="s">
        <v>198</v>
      </c>
      <c r="K1978">
        <v>29</v>
      </c>
      <c r="M1978">
        <f t="shared" si="1136"/>
        <v>29</v>
      </c>
      <c r="N1978">
        <f t="shared" si="1137"/>
        <v>6</v>
      </c>
    </row>
    <row r="1979" spans="1:14" x14ac:dyDescent="0.25">
      <c r="A1979">
        <v>90</v>
      </c>
      <c r="B1979" s="1">
        <v>43992</v>
      </c>
      <c r="C1979" t="s">
        <v>347</v>
      </c>
      <c r="D1979" t="s">
        <v>25</v>
      </c>
      <c r="F1979" t="s">
        <v>58</v>
      </c>
      <c r="G1979">
        <v>1</v>
      </c>
      <c r="H1979">
        <v>60</v>
      </c>
      <c r="I1979">
        <f t="shared" si="1139"/>
        <v>60</v>
      </c>
      <c r="J1979" t="s">
        <v>165</v>
      </c>
      <c r="K1979">
        <v>33</v>
      </c>
      <c r="M1979">
        <f t="shared" si="1136"/>
        <v>33</v>
      </c>
      <c r="N1979">
        <f t="shared" si="1137"/>
        <v>27</v>
      </c>
    </row>
    <row r="1980" spans="1:14" x14ac:dyDescent="0.25">
      <c r="A1980">
        <v>91</v>
      </c>
      <c r="B1980" s="1">
        <v>43992</v>
      </c>
      <c r="C1980" t="s">
        <v>347</v>
      </c>
      <c r="D1980" t="s">
        <v>26</v>
      </c>
      <c r="F1980" t="s">
        <v>47</v>
      </c>
      <c r="G1980">
        <v>3.61</v>
      </c>
      <c r="H1980">
        <v>380</v>
      </c>
      <c r="I1980">
        <f t="shared" si="1139"/>
        <v>1371.8</v>
      </c>
      <c r="J1980" t="s">
        <v>99</v>
      </c>
      <c r="K1980">
        <v>312</v>
      </c>
      <c r="M1980">
        <f t="shared" si="1136"/>
        <v>1126.32</v>
      </c>
      <c r="N1980">
        <f t="shared" si="1137"/>
        <v>245.48000000000002</v>
      </c>
    </row>
    <row r="1981" spans="1:14" x14ac:dyDescent="0.25">
      <c r="A1981">
        <v>92</v>
      </c>
      <c r="B1981" s="1">
        <v>43992</v>
      </c>
      <c r="C1981" t="s">
        <v>347</v>
      </c>
      <c r="D1981" t="s">
        <v>56</v>
      </c>
      <c r="F1981" t="s">
        <v>267</v>
      </c>
      <c r="G1981">
        <v>2</v>
      </c>
      <c r="H1981">
        <v>170</v>
      </c>
      <c r="I1981">
        <f t="shared" si="1139"/>
        <v>340</v>
      </c>
      <c r="J1981" t="s">
        <v>163</v>
      </c>
      <c r="K1981">
        <v>123</v>
      </c>
      <c r="M1981">
        <f t="shared" si="1136"/>
        <v>246</v>
      </c>
      <c r="N1981">
        <f t="shared" si="1137"/>
        <v>94</v>
      </c>
    </row>
    <row r="1982" spans="1:14" x14ac:dyDescent="0.25">
      <c r="A1982">
        <v>93</v>
      </c>
      <c r="B1982" s="1">
        <v>43992</v>
      </c>
      <c r="C1982" t="s">
        <v>347</v>
      </c>
      <c r="D1982" t="s">
        <v>25</v>
      </c>
      <c r="F1982" t="s">
        <v>58</v>
      </c>
      <c r="G1982">
        <v>2</v>
      </c>
      <c r="H1982">
        <v>60</v>
      </c>
      <c r="I1982">
        <f t="shared" si="1139"/>
        <v>120</v>
      </c>
      <c r="J1982" t="s">
        <v>165</v>
      </c>
      <c r="K1982">
        <v>33</v>
      </c>
      <c r="M1982">
        <f t="shared" si="1136"/>
        <v>66</v>
      </c>
      <c r="N1982">
        <f t="shared" si="1137"/>
        <v>54</v>
      </c>
    </row>
    <row r="1983" spans="1:14" x14ac:dyDescent="0.25">
      <c r="A1983">
        <v>94</v>
      </c>
      <c r="B1983" s="1">
        <v>43992</v>
      </c>
      <c r="C1983" t="s">
        <v>347</v>
      </c>
      <c r="D1983" t="s">
        <v>15</v>
      </c>
      <c r="F1983" t="s">
        <v>29</v>
      </c>
      <c r="G1983">
        <v>25</v>
      </c>
      <c r="H1983">
        <v>230</v>
      </c>
      <c r="I1983">
        <f t="shared" si="1139"/>
        <v>5750</v>
      </c>
      <c r="J1983" t="s">
        <v>163</v>
      </c>
      <c r="K1983">
        <v>210</v>
      </c>
      <c r="M1983">
        <f t="shared" si="1136"/>
        <v>5250</v>
      </c>
      <c r="N1983">
        <f t="shared" si="1137"/>
        <v>500</v>
      </c>
    </row>
    <row r="1984" spans="1:14" x14ac:dyDescent="0.25">
      <c r="A1984">
        <v>95</v>
      </c>
      <c r="B1984" s="1">
        <v>43992</v>
      </c>
      <c r="C1984" t="s">
        <v>347</v>
      </c>
      <c r="D1984" t="s">
        <v>56</v>
      </c>
      <c r="F1984" t="s">
        <v>267</v>
      </c>
      <c r="G1984">
        <v>6</v>
      </c>
      <c r="H1984">
        <v>170</v>
      </c>
      <c r="I1984">
        <f t="shared" si="1139"/>
        <v>1020</v>
      </c>
      <c r="J1984" t="s">
        <v>163</v>
      </c>
      <c r="K1984">
        <v>123</v>
      </c>
      <c r="M1984">
        <f t="shared" si="1136"/>
        <v>738</v>
      </c>
      <c r="N1984">
        <f t="shared" si="1137"/>
        <v>282</v>
      </c>
    </row>
    <row r="1985" spans="1:14" x14ac:dyDescent="0.25">
      <c r="A1985">
        <v>96</v>
      </c>
      <c r="B1985" s="1">
        <v>43992</v>
      </c>
      <c r="C1985" t="s">
        <v>347</v>
      </c>
      <c r="D1985" t="s">
        <v>25</v>
      </c>
      <c r="F1985" t="s">
        <v>145</v>
      </c>
      <c r="G1985">
        <v>2</v>
      </c>
      <c r="H1985">
        <v>100</v>
      </c>
      <c r="I1985">
        <f t="shared" si="1139"/>
        <v>200</v>
      </c>
      <c r="J1985" t="s">
        <v>163</v>
      </c>
      <c r="K1985">
        <v>70</v>
      </c>
      <c r="M1985">
        <f t="shared" si="1136"/>
        <v>140</v>
      </c>
      <c r="N1985">
        <f t="shared" si="1137"/>
        <v>60</v>
      </c>
    </row>
    <row r="1986" spans="1:14" x14ac:dyDescent="0.25">
      <c r="A1986">
        <v>97</v>
      </c>
      <c r="B1986" s="1">
        <v>43992</v>
      </c>
      <c r="C1986" t="s">
        <v>347</v>
      </c>
      <c r="D1986" t="s">
        <v>24</v>
      </c>
      <c r="F1986" t="s">
        <v>24</v>
      </c>
      <c r="G1986">
        <v>1</v>
      </c>
      <c r="H1986">
        <v>100</v>
      </c>
      <c r="I1986">
        <f t="shared" si="1139"/>
        <v>100</v>
      </c>
      <c r="J1986" t="s">
        <v>186</v>
      </c>
      <c r="K1986">
        <v>68.22</v>
      </c>
      <c r="M1986">
        <f t="shared" si="1136"/>
        <v>68.22</v>
      </c>
      <c r="N1986">
        <f t="shared" si="1137"/>
        <v>31.78</v>
      </c>
    </row>
    <row r="1987" spans="1:14" x14ac:dyDescent="0.25">
      <c r="A1987">
        <v>98</v>
      </c>
      <c r="B1987" s="1">
        <v>43993</v>
      </c>
      <c r="C1987" t="s">
        <v>347</v>
      </c>
      <c r="D1987" t="s">
        <v>25</v>
      </c>
      <c r="F1987" t="s">
        <v>148</v>
      </c>
      <c r="G1987">
        <v>2</v>
      </c>
      <c r="H1987">
        <v>60</v>
      </c>
      <c r="I1987">
        <f t="shared" si="1139"/>
        <v>120</v>
      </c>
      <c r="J1987" t="s">
        <v>165</v>
      </c>
      <c r="K1987">
        <v>33</v>
      </c>
      <c r="M1987">
        <f t="shared" si="1136"/>
        <v>66</v>
      </c>
      <c r="N1987">
        <f t="shared" si="1137"/>
        <v>54</v>
      </c>
    </row>
    <row r="1988" spans="1:14" x14ac:dyDescent="0.25">
      <c r="A1988">
        <v>99</v>
      </c>
      <c r="B1988" s="1">
        <v>43993</v>
      </c>
      <c r="C1988" t="s">
        <v>347</v>
      </c>
      <c r="D1988" t="s">
        <v>55</v>
      </c>
      <c r="F1988" t="s">
        <v>89</v>
      </c>
      <c r="G1988">
        <v>1</v>
      </c>
      <c r="H1988">
        <v>300</v>
      </c>
      <c r="I1988">
        <f t="shared" si="1139"/>
        <v>300</v>
      </c>
      <c r="J1988" t="s">
        <v>167</v>
      </c>
      <c r="K1988">
        <v>268</v>
      </c>
      <c r="M1988">
        <f t="shared" si="1136"/>
        <v>268</v>
      </c>
      <c r="N1988">
        <f t="shared" si="1137"/>
        <v>32</v>
      </c>
    </row>
    <row r="1989" spans="1:14" x14ac:dyDescent="0.25">
      <c r="A1989">
        <v>100</v>
      </c>
      <c r="B1989" s="1">
        <v>43993</v>
      </c>
      <c r="C1989" t="s">
        <v>347</v>
      </c>
      <c r="D1989" t="s">
        <v>56</v>
      </c>
      <c r="F1989" t="s">
        <v>38</v>
      </c>
      <c r="G1989">
        <v>1</v>
      </c>
      <c r="H1989">
        <v>110</v>
      </c>
      <c r="I1989">
        <f t="shared" si="1139"/>
        <v>110</v>
      </c>
      <c r="J1989" t="s">
        <v>164</v>
      </c>
      <c r="K1989">
        <v>70</v>
      </c>
      <c r="M1989">
        <f t="shared" ref="M1989:M2052" si="1140">+IF(K1989=0,(""),(K1989*G1989))</f>
        <v>70</v>
      </c>
      <c r="N1989">
        <f t="shared" ref="N1989:N2052" si="1141">+IF(K1989=0,(""),(I1989-M1989))</f>
        <v>40</v>
      </c>
    </row>
    <row r="1990" spans="1:14" x14ac:dyDescent="0.25">
      <c r="A1990">
        <v>101</v>
      </c>
      <c r="B1990" s="1">
        <v>43993</v>
      </c>
      <c r="C1990" t="s">
        <v>347</v>
      </c>
      <c r="D1990" t="s">
        <v>25</v>
      </c>
      <c r="F1990" t="s">
        <v>148</v>
      </c>
      <c r="G1990">
        <v>1</v>
      </c>
      <c r="H1990">
        <v>60</v>
      </c>
      <c r="I1990">
        <f t="shared" si="1139"/>
        <v>60</v>
      </c>
      <c r="J1990" t="s">
        <v>165</v>
      </c>
      <c r="K1990">
        <v>33</v>
      </c>
      <c r="M1990">
        <f t="shared" si="1140"/>
        <v>33</v>
      </c>
      <c r="N1990">
        <f t="shared" si="1141"/>
        <v>27</v>
      </c>
    </row>
    <row r="1991" spans="1:14" x14ac:dyDescent="0.25">
      <c r="A1991">
        <v>102</v>
      </c>
      <c r="B1991" s="1">
        <v>43993</v>
      </c>
      <c r="C1991" t="s">
        <v>347</v>
      </c>
      <c r="D1991" t="s">
        <v>25</v>
      </c>
      <c r="F1991" t="s">
        <v>203</v>
      </c>
      <c r="G1991">
        <v>2</v>
      </c>
      <c r="H1991">
        <v>100</v>
      </c>
      <c r="I1991">
        <f t="shared" si="1139"/>
        <v>200</v>
      </c>
      <c r="J1991" t="s">
        <v>163</v>
      </c>
      <c r="K1991">
        <v>70</v>
      </c>
      <c r="M1991">
        <f t="shared" si="1140"/>
        <v>140</v>
      </c>
      <c r="N1991">
        <f t="shared" si="1141"/>
        <v>60</v>
      </c>
    </row>
    <row r="1992" spans="1:14" x14ac:dyDescent="0.25">
      <c r="A1992">
        <v>103</v>
      </c>
      <c r="B1992" s="1">
        <v>43993</v>
      </c>
      <c r="C1992" t="s">
        <v>347</v>
      </c>
      <c r="D1992" t="s">
        <v>15</v>
      </c>
      <c r="F1992" t="s">
        <v>20</v>
      </c>
      <c r="G1992">
        <f>2/5</f>
        <v>0.4</v>
      </c>
      <c r="H1992">
        <v>240</v>
      </c>
      <c r="I1992">
        <f t="shared" si="1139"/>
        <v>96</v>
      </c>
      <c r="J1992" t="s">
        <v>163</v>
      </c>
      <c r="K1992">
        <v>217</v>
      </c>
      <c r="M1992">
        <f t="shared" si="1140"/>
        <v>86.800000000000011</v>
      </c>
      <c r="N1992">
        <f t="shared" si="1141"/>
        <v>9.1999999999999886</v>
      </c>
    </row>
    <row r="1993" spans="1:14" x14ac:dyDescent="0.25">
      <c r="A1993">
        <v>104</v>
      </c>
      <c r="B1993" s="1">
        <v>43993</v>
      </c>
      <c r="C1993" t="s">
        <v>347</v>
      </c>
      <c r="D1993" t="s">
        <v>26</v>
      </c>
      <c r="F1993" t="s">
        <v>47</v>
      </c>
      <c r="G1993">
        <v>1.44</v>
      </c>
      <c r="H1993">
        <v>380</v>
      </c>
      <c r="I1993">
        <f t="shared" si="1139"/>
        <v>547.19999999999993</v>
      </c>
      <c r="J1993" t="s">
        <v>99</v>
      </c>
      <c r="K1993">
        <v>312</v>
      </c>
      <c r="M1993">
        <f t="shared" si="1140"/>
        <v>449.28</v>
      </c>
      <c r="N1993">
        <f t="shared" si="1141"/>
        <v>97.919999999999959</v>
      </c>
    </row>
    <row r="1994" spans="1:14" x14ac:dyDescent="0.25">
      <c r="A1994">
        <v>105</v>
      </c>
      <c r="B1994" s="1">
        <v>43993</v>
      </c>
      <c r="C1994" t="s">
        <v>347</v>
      </c>
      <c r="D1994" t="s">
        <v>92</v>
      </c>
      <c r="F1994" t="s">
        <v>91</v>
      </c>
      <c r="G1994">
        <v>1</v>
      </c>
      <c r="H1994">
        <v>45</v>
      </c>
      <c r="I1994">
        <f t="shared" si="1139"/>
        <v>45</v>
      </c>
      <c r="J1994" t="s">
        <v>166</v>
      </c>
      <c r="M1994" t="str">
        <f t="shared" si="1140"/>
        <v/>
      </c>
      <c r="N1994" t="str">
        <f t="shared" si="1141"/>
        <v/>
      </c>
    </row>
    <row r="1995" spans="1:14" x14ac:dyDescent="0.25">
      <c r="A1995">
        <v>106</v>
      </c>
      <c r="B1995" s="1">
        <v>43993</v>
      </c>
      <c r="C1995" t="s">
        <v>347</v>
      </c>
      <c r="D1995" t="s">
        <v>56</v>
      </c>
      <c r="F1995" t="s">
        <v>267</v>
      </c>
      <c r="G1995">
        <v>5</v>
      </c>
      <c r="H1995">
        <v>170</v>
      </c>
      <c r="I1995">
        <f t="shared" si="1139"/>
        <v>850</v>
      </c>
      <c r="J1995" t="s">
        <v>163</v>
      </c>
      <c r="K1995">
        <v>123</v>
      </c>
      <c r="M1995">
        <f t="shared" si="1140"/>
        <v>615</v>
      </c>
      <c r="N1995">
        <f t="shared" si="1141"/>
        <v>235</v>
      </c>
    </row>
    <row r="1996" spans="1:14" x14ac:dyDescent="0.25">
      <c r="A1996">
        <v>107</v>
      </c>
      <c r="B1996" s="1">
        <v>43993</v>
      </c>
      <c r="C1996" t="s">
        <v>347</v>
      </c>
      <c r="D1996" t="s">
        <v>24</v>
      </c>
      <c r="F1996" t="s">
        <v>24</v>
      </c>
      <c r="G1996">
        <v>3.2</v>
      </c>
      <c r="H1996">
        <v>100</v>
      </c>
      <c r="I1996">
        <f t="shared" si="1139"/>
        <v>320</v>
      </c>
      <c r="J1996" t="s">
        <v>186</v>
      </c>
      <c r="K1996">
        <v>68.22</v>
      </c>
      <c r="M1996">
        <f t="shared" si="1140"/>
        <v>218.304</v>
      </c>
      <c r="N1996">
        <f t="shared" si="1141"/>
        <v>101.696</v>
      </c>
    </row>
    <row r="1997" spans="1:14" x14ac:dyDescent="0.25">
      <c r="A1997">
        <v>108</v>
      </c>
      <c r="B1997" s="1">
        <v>43994</v>
      </c>
      <c r="C1997" t="s">
        <v>347</v>
      </c>
      <c r="D1997" t="s">
        <v>15</v>
      </c>
      <c r="F1997" t="s">
        <v>33</v>
      </c>
      <c r="G1997">
        <v>3.33</v>
      </c>
      <c r="H1997">
        <v>280</v>
      </c>
      <c r="I1997">
        <f t="shared" si="1139"/>
        <v>932.4</v>
      </c>
      <c r="J1997" t="s">
        <v>163</v>
      </c>
      <c r="K1997">
        <v>230</v>
      </c>
      <c r="M1997">
        <f t="shared" si="1140"/>
        <v>765.9</v>
      </c>
      <c r="N1997">
        <f t="shared" si="1141"/>
        <v>166.5</v>
      </c>
    </row>
    <row r="1998" spans="1:14" x14ac:dyDescent="0.25">
      <c r="A1998">
        <v>109</v>
      </c>
      <c r="B1998" s="1">
        <v>43994</v>
      </c>
      <c r="C1998" t="s">
        <v>347</v>
      </c>
      <c r="D1998" t="s">
        <v>92</v>
      </c>
      <c r="F1998" t="s">
        <v>66</v>
      </c>
      <c r="G1998">
        <v>1</v>
      </c>
      <c r="H1998">
        <v>120</v>
      </c>
      <c r="I1998">
        <f t="shared" si="1139"/>
        <v>120</v>
      </c>
      <c r="J1998" t="s">
        <v>187</v>
      </c>
      <c r="K1998">
        <v>88</v>
      </c>
      <c r="M1998">
        <f t="shared" si="1140"/>
        <v>88</v>
      </c>
      <c r="N1998">
        <f t="shared" si="1141"/>
        <v>32</v>
      </c>
    </row>
    <row r="1999" spans="1:14" x14ac:dyDescent="0.25">
      <c r="A1999">
        <v>110</v>
      </c>
      <c r="B1999" s="1">
        <v>43994</v>
      </c>
      <c r="C1999" t="s">
        <v>347</v>
      </c>
      <c r="D1999" t="s">
        <v>55</v>
      </c>
      <c r="F1999" t="s">
        <v>89</v>
      </c>
      <c r="G1999">
        <f>10/17</f>
        <v>0.58823529411764708</v>
      </c>
      <c r="H1999">
        <v>300</v>
      </c>
      <c r="I1999">
        <f t="shared" si="1139"/>
        <v>176.47058823529412</v>
      </c>
      <c r="J1999" t="s">
        <v>167</v>
      </c>
      <c r="K1999">
        <v>268</v>
      </c>
      <c r="M1999">
        <f t="shared" si="1140"/>
        <v>157.64705882352942</v>
      </c>
      <c r="N1999">
        <f t="shared" si="1141"/>
        <v>18.823529411764696</v>
      </c>
    </row>
    <row r="2000" spans="1:14" x14ac:dyDescent="0.25">
      <c r="A2000">
        <v>111</v>
      </c>
      <c r="B2000" s="1">
        <v>43994</v>
      </c>
      <c r="C2000" t="s">
        <v>347</v>
      </c>
      <c r="D2000" t="s">
        <v>25</v>
      </c>
      <c r="F2000" t="s">
        <v>130</v>
      </c>
      <c r="G2000">
        <v>1</v>
      </c>
      <c r="H2000">
        <v>60</v>
      </c>
      <c r="I2000">
        <f t="shared" si="1139"/>
        <v>60</v>
      </c>
      <c r="J2000" t="s">
        <v>165</v>
      </c>
      <c r="K2000">
        <v>33</v>
      </c>
      <c r="M2000">
        <f t="shared" si="1140"/>
        <v>33</v>
      </c>
      <c r="N2000">
        <f t="shared" si="1141"/>
        <v>27</v>
      </c>
    </row>
    <row r="2001" spans="1:14" x14ac:dyDescent="0.25">
      <c r="A2001">
        <v>112</v>
      </c>
      <c r="B2001" s="1">
        <v>43994</v>
      </c>
      <c r="C2001" t="s">
        <v>347</v>
      </c>
      <c r="D2001" t="s">
        <v>92</v>
      </c>
      <c r="F2001" t="s">
        <v>143</v>
      </c>
      <c r="G2001">
        <v>2</v>
      </c>
      <c r="H2001">
        <v>150</v>
      </c>
      <c r="I2001">
        <f t="shared" si="1139"/>
        <v>300</v>
      </c>
      <c r="J2001" t="s">
        <v>166</v>
      </c>
      <c r="M2001" t="str">
        <f t="shared" si="1140"/>
        <v/>
      </c>
      <c r="N2001" t="str">
        <f t="shared" si="1141"/>
        <v/>
      </c>
    </row>
    <row r="2002" spans="1:14" x14ac:dyDescent="0.25">
      <c r="A2002">
        <v>113</v>
      </c>
      <c r="B2002" s="1">
        <v>43994</v>
      </c>
      <c r="C2002" t="s">
        <v>347</v>
      </c>
      <c r="D2002" t="s">
        <v>92</v>
      </c>
      <c r="F2002" t="s">
        <v>275</v>
      </c>
      <c r="G2002">
        <v>2</v>
      </c>
      <c r="H2002">
        <v>180</v>
      </c>
      <c r="I2002">
        <f t="shared" si="1139"/>
        <v>360</v>
      </c>
      <c r="J2002" t="s">
        <v>166</v>
      </c>
      <c r="M2002" t="str">
        <f t="shared" si="1140"/>
        <v/>
      </c>
      <c r="N2002" t="str">
        <f t="shared" si="1141"/>
        <v/>
      </c>
    </row>
    <row r="2003" spans="1:14" x14ac:dyDescent="0.25">
      <c r="A2003">
        <v>114</v>
      </c>
      <c r="B2003" s="1">
        <v>43994</v>
      </c>
      <c r="C2003" t="s">
        <v>347</v>
      </c>
      <c r="D2003" t="s">
        <v>70</v>
      </c>
      <c r="F2003" t="s">
        <v>227</v>
      </c>
      <c r="G2003">
        <v>1</v>
      </c>
      <c r="H2003">
        <v>1630</v>
      </c>
      <c r="I2003">
        <f t="shared" si="1139"/>
        <v>1630</v>
      </c>
      <c r="J2003" t="s">
        <v>167</v>
      </c>
      <c r="K2003">
        <v>1440</v>
      </c>
      <c r="M2003">
        <f t="shared" si="1140"/>
        <v>1440</v>
      </c>
      <c r="N2003">
        <f t="shared" si="1141"/>
        <v>190</v>
      </c>
    </row>
    <row r="2004" spans="1:14" x14ac:dyDescent="0.25">
      <c r="A2004">
        <v>115</v>
      </c>
      <c r="B2004" s="1">
        <v>43995</v>
      </c>
      <c r="C2004" t="s">
        <v>347</v>
      </c>
      <c r="D2004" t="s">
        <v>92</v>
      </c>
      <c r="F2004" t="s">
        <v>143</v>
      </c>
      <c r="G2004">
        <v>2</v>
      </c>
      <c r="H2004">
        <v>150</v>
      </c>
      <c r="I2004">
        <f t="shared" si="1139"/>
        <v>300</v>
      </c>
      <c r="J2004" t="s">
        <v>166</v>
      </c>
      <c r="M2004" t="str">
        <f t="shared" si="1140"/>
        <v/>
      </c>
      <c r="N2004" t="str">
        <f t="shared" si="1141"/>
        <v/>
      </c>
    </row>
    <row r="2005" spans="1:14" x14ac:dyDescent="0.25">
      <c r="A2005">
        <v>116</v>
      </c>
      <c r="B2005" s="1">
        <v>43995</v>
      </c>
      <c r="C2005" t="s">
        <v>347</v>
      </c>
      <c r="D2005" t="s">
        <v>25</v>
      </c>
      <c r="F2005" t="s">
        <v>58</v>
      </c>
      <c r="G2005">
        <v>2</v>
      </c>
      <c r="H2005">
        <v>60</v>
      </c>
      <c r="I2005">
        <f t="shared" si="1139"/>
        <v>120</v>
      </c>
      <c r="J2005" t="s">
        <v>165</v>
      </c>
      <c r="K2005">
        <v>33</v>
      </c>
      <c r="M2005">
        <f t="shared" si="1140"/>
        <v>66</v>
      </c>
      <c r="N2005">
        <f t="shared" si="1141"/>
        <v>54</v>
      </c>
    </row>
    <row r="2006" spans="1:14" x14ac:dyDescent="0.25">
      <c r="A2006">
        <v>117</v>
      </c>
      <c r="B2006" s="1">
        <v>43995</v>
      </c>
      <c r="C2006" t="s">
        <v>347</v>
      </c>
      <c r="D2006" t="s">
        <v>55</v>
      </c>
      <c r="F2006" t="s">
        <v>313</v>
      </c>
      <c r="G2006">
        <v>5</v>
      </c>
      <c r="H2006">
        <v>270</v>
      </c>
      <c r="I2006">
        <f t="shared" si="1139"/>
        <v>1350</v>
      </c>
      <c r="J2006" t="s">
        <v>167</v>
      </c>
      <c r="K2006">
        <v>207</v>
      </c>
      <c r="M2006">
        <f t="shared" si="1140"/>
        <v>1035</v>
      </c>
      <c r="N2006">
        <f t="shared" si="1141"/>
        <v>315</v>
      </c>
    </row>
    <row r="2007" spans="1:14" x14ac:dyDescent="0.25">
      <c r="A2007">
        <v>118</v>
      </c>
      <c r="B2007" s="1">
        <v>43995</v>
      </c>
      <c r="C2007" t="s">
        <v>347</v>
      </c>
      <c r="D2007" t="s">
        <v>78</v>
      </c>
      <c r="F2007" t="s">
        <v>360</v>
      </c>
      <c r="G2007">
        <v>1</v>
      </c>
      <c r="H2007">
        <v>1000</v>
      </c>
      <c r="I2007">
        <f t="shared" si="1139"/>
        <v>1000</v>
      </c>
      <c r="J2007" t="s">
        <v>198</v>
      </c>
      <c r="K2007">
        <v>750</v>
      </c>
      <c r="M2007">
        <f t="shared" si="1140"/>
        <v>750</v>
      </c>
      <c r="N2007">
        <f t="shared" si="1141"/>
        <v>250</v>
      </c>
    </row>
    <row r="2008" spans="1:14" x14ac:dyDescent="0.25">
      <c r="A2008">
        <v>119</v>
      </c>
      <c r="B2008" s="1">
        <v>43995</v>
      </c>
      <c r="C2008" t="s">
        <v>347</v>
      </c>
      <c r="D2008" t="s">
        <v>78</v>
      </c>
      <c r="F2008" t="s">
        <v>266</v>
      </c>
      <c r="G2008">
        <v>1</v>
      </c>
      <c r="H2008">
        <v>740</v>
      </c>
      <c r="I2008">
        <f t="shared" si="1139"/>
        <v>740</v>
      </c>
      <c r="J2008" t="s">
        <v>198</v>
      </c>
      <c r="M2008" t="str">
        <f t="shared" si="1140"/>
        <v/>
      </c>
      <c r="N2008" t="str">
        <f t="shared" si="1141"/>
        <v/>
      </c>
    </row>
    <row r="2009" spans="1:14" x14ac:dyDescent="0.25">
      <c r="A2009">
        <v>120</v>
      </c>
      <c r="B2009" s="1">
        <v>43995</v>
      </c>
      <c r="C2009" t="s">
        <v>347</v>
      </c>
      <c r="D2009" t="s">
        <v>75</v>
      </c>
      <c r="F2009" t="s">
        <v>154</v>
      </c>
      <c r="G2009">
        <v>1</v>
      </c>
      <c r="H2009">
        <v>30</v>
      </c>
      <c r="I2009">
        <f t="shared" ref="I2009:I2072" si="1142">+G2009*H2009</f>
        <v>30</v>
      </c>
      <c r="J2009" t="s">
        <v>163</v>
      </c>
      <c r="K2009">
        <v>23</v>
      </c>
      <c r="M2009">
        <f t="shared" si="1140"/>
        <v>23</v>
      </c>
      <c r="N2009">
        <f t="shared" si="1141"/>
        <v>7</v>
      </c>
    </row>
    <row r="2010" spans="1:14" x14ac:dyDescent="0.25">
      <c r="A2010">
        <v>121</v>
      </c>
      <c r="B2010" s="1">
        <v>43995</v>
      </c>
      <c r="C2010" t="s">
        <v>347</v>
      </c>
      <c r="D2010" t="s">
        <v>70</v>
      </c>
      <c r="F2010" t="s">
        <v>361</v>
      </c>
      <c r="G2010">
        <v>1</v>
      </c>
      <c r="H2010">
        <v>275</v>
      </c>
      <c r="I2010">
        <f t="shared" si="1142"/>
        <v>275</v>
      </c>
      <c r="J2010" t="s">
        <v>198</v>
      </c>
      <c r="M2010" t="str">
        <f t="shared" si="1140"/>
        <v/>
      </c>
      <c r="N2010" t="str">
        <f t="shared" si="1141"/>
        <v/>
      </c>
    </row>
    <row r="2011" spans="1:14" x14ac:dyDescent="0.25">
      <c r="A2011">
        <v>122</v>
      </c>
      <c r="B2011" s="1">
        <v>43995</v>
      </c>
      <c r="C2011" t="s">
        <v>347</v>
      </c>
      <c r="D2011" t="s">
        <v>15</v>
      </c>
      <c r="F2011" t="s">
        <v>45</v>
      </c>
      <c r="G2011">
        <f>3/9</f>
        <v>0.33333333333333331</v>
      </c>
      <c r="H2011">
        <v>300</v>
      </c>
      <c r="I2011">
        <f t="shared" si="1142"/>
        <v>100</v>
      </c>
      <c r="J2011" t="s">
        <v>167</v>
      </c>
      <c r="K2011">
        <v>268</v>
      </c>
      <c r="M2011">
        <f t="shared" si="1140"/>
        <v>89.333333333333329</v>
      </c>
      <c r="N2011">
        <f t="shared" si="1141"/>
        <v>10.666666666666671</v>
      </c>
    </row>
    <row r="2012" spans="1:14" x14ac:dyDescent="0.25">
      <c r="A2012">
        <v>123</v>
      </c>
      <c r="B2012" s="1">
        <v>43995</v>
      </c>
      <c r="C2012" t="s">
        <v>347</v>
      </c>
      <c r="D2012" t="s">
        <v>55</v>
      </c>
      <c r="F2012" t="s">
        <v>149</v>
      </c>
      <c r="G2012">
        <f>3/12</f>
        <v>0.25</v>
      </c>
      <c r="H2012">
        <v>300</v>
      </c>
      <c r="I2012">
        <f t="shared" si="1142"/>
        <v>75</v>
      </c>
      <c r="J2012" t="s">
        <v>167</v>
      </c>
      <c r="K2012">
        <v>268</v>
      </c>
      <c r="M2012">
        <f t="shared" si="1140"/>
        <v>67</v>
      </c>
      <c r="N2012">
        <f t="shared" si="1141"/>
        <v>8</v>
      </c>
    </row>
    <row r="2013" spans="1:14" x14ac:dyDescent="0.25">
      <c r="A2013">
        <v>124</v>
      </c>
      <c r="B2013" s="1">
        <v>43995</v>
      </c>
      <c r="C2013" t="s">
        <v>347</v>
      </c>
      <c r="D2013" t="s">
        <v>15</v>
      </c>
      <c r="F2013" t="s">
        <v>20</v>
      </c>
      <c r="G2013">
        <v>19</v>
      </c>
      <c r="H2013">
        <v>250</v>
      </c>
      <c r="I2013">
        <f t="shared" si="1142"/>
        <v>4750</v>
      </c>
      <c r="J2013" t="s">
        <v>163</v>
      </c>
      <c r="K2013">
        <v>217</v>
      </c>
      <c r="M2013">
        <f t="shared" si="1140"/>
        <v>4123</v>
      </c>
      <c r="N2013">
        <f t="shared" si="1141"/>
        <v>627</v>
      </c>
    </row>
    <row r="2014" spans="1:14" x14ac:dyDescent="0.25">
      <c r="A2014">
        <v>125</v>
      </c>
      <c r="B2014" s="1">
        <v>43995</v>
      </c>
      <c r="C2014" t="s">
        <v>347</v>
      </c>
      <c r="D2014" t="s">
        <v>56</v>
      </c>
      <c r="F2014" t="s">
        <v>267</v>
      </c>
      <c r="G2014">
        <v>2</v>
      </c>
      <c r="H2014">
        <v>160</v>
      </c>
      <c r="I2014">
        <f t="shared" si="1142"/>
        <v>320</v>
      </c>
      <c r="J2014" t="s">
        <v>163</v>
      </c>
      <c r="K2014">
        <v>123</v>
      </c>
      <c r="M2014">
        <f t="shared" si="1140"/>
        <v>246</v>
      </c>
      <c r="N2014">
        <f t="shared" si="1141"/>
        <v>74</v>
      </c>
    </row>
    <row r="2015" spans="1:14" x14ac:dyDescent="0.25">
      <c r="A2015">
        <v>126</v>
      </c>
      <c r="B2015" s="1">
        <v>43995</v>
      </c>
      <c r="C2015" t="s">
        <v>347</v>
      </c>
      <c r="D2015" t="s">
        <v>70</v>
      </c>
      <c r="F2015" t="s">
        <v>227</v>
      </c>
      <c r="G2015">
        <v>1</v>
      </c>
      <c r="H2015">
        <v>1630</v>
      </c>
      <c r="I2015">
        <f t="shared" si="1142"/>
        <v>1630</v>
      </c>
      <c r="J2015" t="s">
        <v>167</v>
      </c>
      <c r="K2015">
        <v>1440</v>
      </c>
      <c r="M2015">
        <f t="shared" si="1140"/>
        <v>1440</v>
      </c>
      <c r="N2015">
        <f t="shared" si="1141"/>
        <v>190</v>
      </c>
    </row>
    <row r="2016" spans="1:14" x14ac:dyDescent="0.25">
      <c r="A2016">
        <v>127</v>
      </c>
      <c r="B2016" s="1">
        <v>43997</v>
      </c>
      <c r="C2016" t="s">
        <v>347</v>
      </c>
      <c r="D2016" t="s">
        <v>15</v>
      </c>
      <c r="F2016" t="s">
        <v>346</v>
      </c>
      <c r="G2016">
        <v>6</v>
      </c>
      <c r="H2016">
        <v>280</v>
      </c>
      <c r="I2016">
        <f t="shared" si="1142"/>
        <v>1680</v>
      </c>
      <c r="J2016" t="s">
        <v>167</v>
      </c>
      <c r="K2016">
        <v>219</v>
      </c>
      <c r="M2016">
        <f t="shared" si="1140"/>
        <v>1314</v>
      </c>
      <c r="N2016">
        <f t="shared" si="1141"/>
        <v>366</v>
      </c>
    </row>
    <row r="2017" spans="1:14" x14ac:dyDescent="0.25">
      <c r="A2017">
        <v>128</v>
      </c>
      <c r="B2017" s="1">
        <v>43997</v>
      </c>
      <c r="C2017" t="s">
        <v>347</v>
      </c>
      <c r="D2017" t="s">
        <v>15</v>
      </c>
      <c r="F2017" t="s">
        <v>20</v>
      </c>
      <c r="G2017">
        <v>30</v>
      </c>
      <c r="H2017">
        <v>250</v>
      </c>
      <c r="I2017">
        <f t="shared" si="1142"/>
        <v>7500</v>
      </c>
      <c r="J2017" t="s">
        <v>163</v>
      </c>
      <c r="K2017">
        <v>217</v>
      </c>
      <c r="M2017">
        <f t="shared" si="1140"/>
        <v>6510</v>
      </c>
      <c r="N2017">
        <f t="shared" si="1141"/>
        <v>990</v>
      </c>
    </row>
    <row r="2018" spans="1:14" x14ac:dyDescent="0.25">
      <c r="A2018">
        <v>129</v>
      </c>
      <c r="B2018" s="1">
        <v>43997</v>
      </c>
      <c r="C2018" t="s">
        <v>347</v>
      </c>
      <c r="D2018" t="s">
        <v>85</v>
      </c>
      <c r="F2018" t="s">
        <v>379</v>
      </c>
      <c r="G2018">
        <v>1</v>
      </c>
      <c r="H2018">
        <v>90</v>
      </c>
      <c r="I2018">
        <f t="shared" si="1142"/>
        <v>90</v>
      </c>
      <c r="J2018" t="s">
        <v>198</v>
      </c>
      <c r="M2018" t="str">
        <f t="shared" si="1140"/>
        <v/>
      </c>
      <c r="N2018" t="str">
        <f t="shared" si="1141"/>
        <v/>
      </c>
    </row>
    <row r="2019" spans="1:14" x14ac:dyDescent="0.25">
      <c r="A2019">
        <v>130</v>
      </c>
      <c r="B2019" s="1">
        <v>43997</v>
      </c>
      <c r="C2019" t="s">
        <v>347</v>
      </c>
      <c r="D2019" t="s">
        <v>15</v>
      </c>
      <c r="F2019" t="s">
        <v>20</v>
      </c>
      <c r="G2019">
        <v>38</v>
      </c>
      <c r="H2019">
        <v>250</v>
      </c>
      <c r="I2019">
        <f t="shared" si="1142"/>
        <v>9500</v>
      </c>
      <c r="J2019" t="s">
        <v>163</v>
      </c>
      <c r="K2019">
        <v>217</v>
      </c>
      <c r="M2019">
        <f t="shared" si="1140"/>
        <v>8246</v>
      </c>
      <c r="N2019">
        <f t="shared" si="1141"/>
        <v>1254</v>
      </c>
    </row>
    <row r="2020" spans="1:14" x14ac:dyDescent="0.25">
      <c r="A2020">
        <v>131</v>
      </c>
      <c r="B2020" s="1">
        <v>43997</v>
      </c>
      <c r="C2020" t="s">
        <v>347</v>
      </c>
      <c r="D2020" t="s">
        <v>15</v>
      </c>
      <c r="F2020" t="s">
        <v>346</v>
      </c>
      <c r="G2020">
        <v>7</v>
      </c>
      <c r="H2020">
        <v>280</v>
      </c>
      <c r="I2020">
        <f t="shared" si="1142"/>
        <v>1960</v>
      </c>
      <c r="J2020" t="s">
        <v>167</v>
      </c>
      <c r="K2020">
        <v>219</v>
      </c>
      <c r="M2020">
        <f t="shared" si="1140"/>
        <v>1533</v>
      </c>
      <c r="N2020">
        <f t="shared" si="1141"/>
        <v>427</v>
      </c>
    </row>
    <row r="2021" spans="1:14" x14ac:dyDescent="0.25">
      <c r="A2021">
        <v>132</v>
      </c>
      <c r="B2021" s="1">
        <v>43997</v>
      </c>
      <c r="C2021" t="s">
        <v>347</v>
      </c>
      <c r="D2021" t="s">
        <v>55</v>
      </c>
      <c r="F2021" t="s">
        <v>149</v>
      </c>
      <c r="G2021">
        <v>2</v>
      </c>
      <c r="H2021">
        <v>300</v>
      </c>
      <c r="I2021">
        <f t="shared" si="1142"/>
        <v>600</v>
      </c>
      <c r="J2021" t="s">
        <v>167</v>
      </c>
      <c r="K2021">
        <v>268</v>
      </c>
      <c r="M2021">
        <f t="shared" si="1140"/>
        <v>536</v>
      </c>
      <c r="N2021">
        <f t="shared" si="1141"/>
        <v>64</v>
      </c>
    </row>
    <row r="2022" spans="1:14" x14ac:dyDescent="0.25">
      <c r="A2022">
        <v>133</v>
      </c>
      <c r="B2022" s="1">
        <v>43997</v>
      </c>
      <c r="C2022" t="s">
        <v>347</v>
      </c>
      <c r="D2022" t="s">
        <v>25</v>
      </c>
      <c r="F2022" t="s">
        <v>337</v>
      </c>
      <c r="G2022">
        <v>2</v>
      </c>
      <c r="H2022">
        <v>60</v>
      </c>
      <c r="I2022">
        <f t="shared" si="1142"/>
        <v>120</v>
      </c>
      <c r="J2022" t="s">
        <v>165</v>
      </c>
      <c r="K2022">
        <v>33</v>
      </c>
      <c r="M2022">
        <f t="shared" si="1140"/>
        <v>66</v>
      </c>
      <c r="N2022">
        <f t="shared" si="1141"/>
        <v>54</v>
      </c>
    </row>
    <row r="2023" spans="1:14" x14ac:dyDescent="0.25">
      <c r="A2023">
        <v>134</v>
      </c>
      <c r="B2023" s="1">
        <v>43997</v>
      </c>
      <c r="C2023" t="s">
        <v>347</v>
      </c>
      <c r="D2023" t="s">
        <v>55</v>
      </c>
      <c r="F2023" t="s">
        <v>108</v>
      </c>
      <c r="G2023">
        <f>2/17</f>
        <v>0.11764705882352941</v>
      </c>
      <c r="H2023">
        <v>300</v>
      </c>
      <c r="I2023">
        <f t="shared" si="1142"/>
        <v>35.294117647058826</v>
      </c>
      <c r="J2023" t="s">
        <v>167</v>
      </c>
      <c r="K2023">
        <v>268</v>
      </c>
      <c r="M2023">
        <f t="shared" si="1140"/>
        <v>31.52941176470588</v>
      </c>
      <c r="N2023">
        <f t="shared" si="1141"/>
        <v>3.7647058823529456</v>
      </c>
    </row>
    <row r="2024" spans="1:14" x14ac:dyDescent="0.25">
      <c r="A2024">
        <v>135</v>
      </c>
      <c r="B2024" s="1">
        <v>43998</v>
      </c>
      <c r="C2024" t="s">
        <v>347</v>
      </c>
      <c r="D2024" t="s">
        <v>15</v>
      </c>
      <c r="F2024" t="s">
        <v>312</v>
      </c>
      <c r="G2024">
        <v>3.3332999999999999</v>
      </c>
      <c r="H2024">
        <v>300</v>
      </c>
      <c r="I2024">
        <f t="shared" si="1142"/>
        <v>999.99</v>
      </c>
      <c r="J2024" t="s">
        <v>13</v>
      </c>
      <c r="K2024">
        <v>280</v>
      </c>
      <c r="M2024">
        <f t="shared" si="1140"/>
        <v>933.32399999999996</v>
      </c>
      <c r="N2024">
        <f t="shared" si="1141"/>
        <v>66.666000000000054</v>
      </c>
    </row>
    <row r="2025" spans="1:14" x14ac:dyDescent="0.25">
      <c r="A2025">
        <v>136</v>
      </c>
      <c r="B2025" s="1">
        <v>43998</v>
      </c>
      <c r="C2025" t="s">
        <v>347</v>
      </c>
      <c r="D2025" t="s">
        <v>25</v>
      </c>
      <c r="F2025" t="s">
        <v>148</v>
      </c>
      <c r="G2025">
        <v>1</v>
      </c>
      <c r="H2025">
        <v>60</v>
      </c>
      <c r="I2025">
        <f t="shared" si="1142"/>
        <v>60</v>
      </c>
      <c r="J2025" t="s">
        <v>165</v>
      </c>
      <c r="K2025">
        <v>33</v>
      </c>
      <c r="M2025">
        <f t="shared" si="1140"/>
        <v>33</v>
      </c>
      <c r="N2025">
        <f t="shared" si="1141"/>
        <v>27</v>
      </c>
    </row>
    <row r="2026" spans="1:14" x14ac:dyDescent="0.25">
      <c r="A2026">
        <v>137</v>
      </c>
      <c r="B2026" s="1">
        <v>43998</v>
      </c>
      <c r="C2026" t="s">
        <v>347</v>
      </c>
      <c r="D2026" t="s">
        <v>55</v>
      </c>
      <c r="F2026" t="s">
        <v>22</v>
      </c>
      <c r="G2026">
        <v>6</v>
      </c>
      <c r="H2026">
        <v>300</v>
      </c>
      <c r="I2026">
        <f t="shared" si="1142"/>
        <v>1800</v>
      </c>
      <c r="J2026" t="s">
        <v>167</v>
      </c>
      <c r="K2026">
        <v>268</v>
      </c>
      <c r="M2026">
        <f t="shared" si="1140"/>
        <v>1608</v>
      </c>
      <c r="N2026">
        <f t="shared" si="1141"/>
        <v>192</v>
      </c>
    </row>
    <row r="2027" spans="1:14" x14ac:dyDescent="0.25">
      <c r="A2027">
        <v>138</v>
      </c>
      <c r="B2027" s="1">
        <v>43998</v>
      </c>
      <c r="C2027" t="s">
        <v>347</v>
      </c>
      <c r="D2027" t="s">
        <v>15</v>
      </c>
      <c r="F2027" t="s">
        <v>295</v>
      </c>
      <c r="G2027">
        <v>2</v>
      </c>
      <c r="H2027">
        <v>230</v>
      </c>
      <c r="I2027">
        <f t="shared" si="1142"/>
        <v>460</v>
      </c>
      <c r="J2027" t="s">
        <v>163</v>
      </c>
      <c r="K2027">
        <v>200</v>
      </c>
      <c r="M2027">
        <f t="shared" si="1140"/>
        <v>400</v>
      </c>
      <c r="N2027">
        <f t="shared" si="1141"/>
        <v>60</v>
      </c>
    </row>
    <row r="2028" spans="1:14" x14ac:dyDescent="0.25">
      <c r="A2028">
        <v>139</v>
      </c>
      <c r="B2028" s="1">
        <v>43998</v>
      </c>
      <c r="C2028" t="s">
        <v>347</v>
      </c>
      <c r="D2028" t="s">
        <v>56</v>
      </c>
      <c r="F2028" t="s">
        <v>267</v>
      </c>
      <c r="G2028">
        <v>20</v>
      </c>
      <c r="H2028">
        <v>165</v>
      </c>
      <c r="I2028">
        <f t="shared" si="1142"/>
        <v>3300</v>
      </c>
      <c r="J2028" t="s">
        <v>163</v>
      </c>
      <c r="K2028">
        <v>123</v>
      </c>
      <c r="M2028">
        <f t="shared" si="1140"/>
        <v>2460</v>
      </c>
      <c r="N2028">
        <f t="shared" si="1141"/>
        <v>840</v>
      </c>
    </row>
    <row r="2029" spans="1:14" x14ac:dyDescent="0.25">
      <c r="A2029">
        <v>140</v>
      </c>
      <c r="B2029" s="1">
        <v>43998</v>
      </c>
      <c r="C2029" t="s">
        <v>347</v>
      </c>
      <c r="D2029" t="s">
        <v>25</v>
      </c>
      <c r="F2029" t="s">
        <v>58</v>
      </c>
      <c r="G2029">
        <v>3</v>
      </c>
      <c r="H2029">
        <v>60</v>
      </c>
      <c r="I2029">
        <f t="shared" si="1142"/>
        <v>180</v>
      </c>
      <c r="J2029" t="s">
        <v>165</v>
      </c>
      <c r="K2029">
        <v>33</v>
      </c>
      <c r="M2029">
        <f t="shared" si="1140"/>
        <v>99</v>
      </c>
      <c r="N2029">
        <f t="shared" si="1141"/>
        <v>81</v>
      </c>
    </row>
    <row r="2030" spans="1:14" x14ac:dyDescent="0.25">
      <c r="A2030">
        <v>141</v>
      </c>
      <c r="B2030" s="1">
        <v>43998</v>
      </c>
      <c r="C2030" t="s">
        <v>347</v>
      </c>
      <c r="D2030" t="s">
        <v>15</v>
      </c>
      <c r="F2030" t="s">
        <v>31</v>
      </c>
      <c r="G2030">
        <v>13</v>
      </c>
      <c r="H2030">
        <v>270</v>
      </c>
      <c r="I2030">
        <f t="shared" si="1142"/>
        <v>3510</v>
      </c>
      <c r="J2030" t="s">
        <v>163</v>
      </c>
      <c r="K2030">
        <v>247</v>
      </c>
      <c r="M2030">
        <f t="shared" si="1140"/>
        <v>3211</v>
      </c>
      <c r="N2030">
        <f t="shared" si="1141"/>
        <v>299</v>
      </c>
    </row>
    <row r="2031" spans="1:14" x14ac:dyDescent="0.25">
      <c r="A2031">
        <v>142</v>
      </c>
      <c r="B2031" s="1">
        <v>43998</v>
      </c>
      <c r="C2031" t="s">
        <v>347</v>
      </c>
      <c r="D2031" t="s">
        <v>15</v>
      </c>
      <c r="F2031" t="s">
        <v>346</v>
      </c>
      <c r="G2031">
        <v>3</v>
      </c>
      <c r="H2031">
        <v>280</v>
      </c>
      <c r="I2031">
        <f t="shared" si="1142"/>
        <v>840</v>
      </c>
      <c r="J2031" t="s">
        <v>167</v>
      </c>
      <c r="K2031">
        <v>219</v>
      </c>
      <c r="M2031">
        <f t="shared" si="1140"/>
        <v>657</v>
      </c>
      <c r="N2031">
        <f t="shared" si="1141"/>
        <v>183</v>
      </c>
    </row>
    <row r="2032" spans="1:14" x14ac:dyDescent="0.25">
      <c r="A2032">
        <v>143</v>
      </c>
      <c r="B2032" s="1">
        <v>43998</v>
      </c>
      <c r="C2032" t="s">
        <v>347</v>
      </c>
      <c r="D2032" t="s">
        <v>15</v>
      </c>
      <c r="F2032" t="s">
        <v>29</v>
      </c>
      <c r="G2032">
        <v>20</v>
      </c>
      <c r="H2032">
        <v>238</v>
      </c>
      <c r="I2032">
        <f t="shared" si="1142"/>
        <v>4760</v>
      </c>
      <c r="J2032" t="s">
        <v>163</v>
      </c>
      <c r="K2032">
        <v>210</v>
      </c>
      <c r="M2032">
        <f t="shared" si="1140"/>
        <v>4200</v>
      </c>
      <c r="N2032">
        <f t="shared" si="1141"/>
        <v>560</v>
      </c>
    </row>
    <row r="2033" spans="1:14" x14ac:dyDescent="0.25">
      <c r="A2033">
        <v>144</v>
      </c>
      <c r="B2033" s="1">
        <v>43998</v>
      </c>
      <c r="C2033" t="s">
        <v>347</v>
      </c>
      <c r="D2033" t="s">
        <v>56</v>
      </c>
      <c r="F2033" t="s">
        <v>267</v>
      </c>
      <c r="G2033">
        <v>7</v>
      </c>
      <c r="H2033">
        <v>170</v>
      </c>
      <c r="I2033">
        <f t="shared" si="1142"/>
        <v>1190</v>
      </c>
      <c r="J2033" t="s">
        <v>163</v>
      </c>
      <c r="K2033">
        <v>123</v>
      </c>
      <c r="M2033">
        <f t="shared" si="1140"/>
        <v>861</v>
      </c>
      <c r="N2033">
        <f t="shared" si="1141"/>
        <v>329</v>
      </c>
    </row>
    <row r="2034" spans="1:14" x14ac:dyDescent="0.25">
      <c r="A2034">
        <v>145</v>
      </c>
      <c r="B2034" s="1">
        <v>43998</v>
      </c>
      <c r="C2034" t="s">
        <v>347</v>
      </c>
      <c r="D2034" t="s">
        <v>44</v>
      </c>
      <c r="F2034" t="s">
        <v>138</v>
      </c>
      <c r="G2034">
        <v>1</v>
      </c>
      <c r="H2034">
        <v>35</v>
      </c>
      <c r="I2034">
        <f t="shared" si="1142"/>
        <v>35</v>
      </c>
      <c r="J2034" t="s">
        <v>198</v>
      </c>
      <c r="K2034">
        <v>29</v>
      </c>
      <c r="M2034">
        <f t="shared" si="1140"/>
        <v>29</v>
      </c>
      <c r="N2034">
        <f t="shared" si="1141"/>
        <v>6</v>
      </c>
    </row>
    <row r="2035" spans="1:14" x14ac:dyDescent="0.25">
      <c r="A2035">
        <v>146</v>
      </c>
      <c r="B2035" s="1">
        <v>43999</v>
      </c>
      <c r="C2035" t="s">
        <v>347</v>
      </c>
      <c r="D2035" t="s">
        <v>25</v>
      </c>
      <c r="F2035" t="s">
        <v>58</v>
      </c>
      <c r="G2035">
        <v>2</v>
      </c>
      <c r="H2035">
        <v>60</v>
      </c>
      <c r="I2035">
        <f t="shared" si="1142"/>
        <v>120</v>
      </c>
      <c r="J2035" t="s">
        <v>165</v>
      </c>
      <c r="K2035">
        <v>33</v>
      </c>
      <c r="M2035">
        <f t="shared" si="1140"/>
        <v>66</v>
      </c>
      <c r="N2035">
        <f t="shared" si="1141"/>
        <v>54</v>
      </c>
    </row>
    <row r="2036" spans="1:14" x14ac:dyDescent="0.25">
      <c r="A2036">
        <v>147</v>
      </c>
      <c r="B2036" s="1">
        <v>43999</v>
      </c>
      <c r="C2036" t="s">
        <v>347</v>
      </c>
      <c r="D2036" t="s">
        <v>15</v>
      </c>
      <c r="F2036" t="s">
        <v>359</v>
      </c>
      <c r="G2036">
        <v>8</v>
      </c>
      <c r="H2036">
        <v>280</v>
      </c>
      <c r="I2036">
        <f t="shared" si="1142"/>
        <v>2240</v>
      </c>
      <c r="J2036" t="s">
        <v>167</v>
      </c>
      <c r="K2036">
        <v>219</v>
      </c>
      <c r="M2036">
        <f t="shared" si="1140"/>
        <v>1752</v>
      </c>
      <c r="N2036">
        <f t="shared" si="1141"/>
        <v>488</v>
      </c>
    </row>
    <row r="2037" spans="1:14" x14ac:dyDescent="0.25">
      <c r="A2037">
        <v>148</v>
      </c>
      <c r="B2037" s="1">
        <v>43999</v>
      </c>
      <c r="C2037" t="s">
        <v>347</v>
      </c>
      <c r="D2037" t="s">
        <v>56</v>
      </c>
      <c r="F2037" t="s">
        <v>267</v>
      </c>
      <c r="G2037">
        <v>2</v>
      </c>
      <c r="H2037">
        <v>170</v>
      </c>
      <c r="I2037">
        <f t="shared" si="1142"/>
        <v>340</v>
      </c>
      <c r="J2037" t="s">
        <v>163</v>
      </c>
      <c r="K2037">
        <v>123</v>
      </c>
      <c r="M2037">
        <f t="shared" si="1140"/>
        <v>246</v>
      </c>
      <c r="N2037">
        <f t="shared" si="1141"/>
        <v>94</v>
      </c>
    </row>
    <row r="2038" spans="1:14" x14ac:dyDescent="0.25">
      <c r="A2038">
        <v>149</v>
      </c>
      <c r="B2038" s="1">
        <v>43999</v>
      </c>
      <c r="C2038" t="s">
        <v>347</v>
      </c>
      <c r="D2038" t="s">
        <v>44</v>
      </c>
      <c r="F2038" t="s">
        <v>138</v>
      </c>
      <c r="G2038">
        <v>1</v>
      </c>
      <c r="H2038">
        <v>35</v>
      </c>
      <c r="I2038">
        <f t="shared" si="1142"/>
        <v>35</v>
      </c>
      <c r="J2038" t="s">
        <v>198</v>
      </c>
      <c r="K2038">
        <v>29</v>
      </c>
      <c r="M2038">
        <f t="shared" si="1140"/>
        <v>29</v>
      </c>
      <c r="N2038">
        <f t="shared" si="1141"/>
        <v>6</v>
      </c>
    </row>
    <row r="2039" spans="1:14" x14ac:dyDescent="0.25">
      <c r="A2039">
        <v>150</v>
      </c>
      <c r="B2039" s="1">
        <v>43999</v>
      </c>
      <c r="C2039" t="s">
        <v>347</v>
      </c>
      <c r="D2039" t="s">
        <v>56</v>
      </c>
      <c r="F2039" t="s">
        <v>267</v>
      </c>
      <c r="G2039">
        <v>1</v>
      </c>
      <c r="H2039">
        <v>170</v>
      </c>
      <c r="I2039">
        <f t="shared" si="1142"/>
        <v>170</v>
      </c>
      <c r="J2039" t="s">
        <v>163</v>
      </c>
      <c r="K2039">
        <v>123</v>
      </c>
      <c r="M2039">
        <f t="shared" si="1140"/>
        <v>123</v>
      </c>
      <c r="N2039">
        <f t="shared" si="1141"/>
        <v>47</v>
      </c>
    </row>
    <row r="2040" spans="1:14" x14ac:dyDescent="0.25">
      <c r="A2040">
        <v>151</v>
      </c>
      <c r="B2040" s="1">
        <v>43999</v>
      </c>
      <c r="C2040" t="s">
        <v>347</v>
      </c>
      <c r="D2040" t="s">
        <v>25</v>
      </c>
      <c r="F2040" t="s">
        <v>145</v>
      </c>
      <c r="G2040">
        <v>2</v>
      </c>
      <c r="H2040">
        <v>100</v>
      </c>
      <c r="I2040">
        <f t="shared" si="1142"/>
        <v>200</v>
      </c>
      <c r="J2040" t="s">
        <v>163</v>
      </c>
      <c r="K2040">
        <v>70</v>
      </c>
      <c r="M2040">
        <f t="shared" si="1140"/>
        <v>140</v>
      </c>
      <c r="N2040">
        <f t="shared" si="1141"/>
        <v>60</v>
      </c>
    </row>
    <row r="2041" spans="1:14" x14ac:dyDescent="0.25">
      <c r="A2041">
        <v>152</v>
      </c>
      <c r="B2041" s="1">
        <v>43999</v>
      </c>
      <c r="C2041" t="s">
        <v>347</v>
      </c>
      <c r="D2041" t="s">
        <v>25</v>
      </c>
      <c r="F2041" t="s">
        <v>148</v>
      </c>
      <c r="G2041">
        <v>1</v>
      </c>
      <c r="H2041">
        <v>60</v>
      </c>
      <c r="I2041">
        <f t="shared" si="1142"/>
        <v>60</v>
      </c>
      <c r="J2041" t="s">
        <v>165</v>
      </c>
      <c r="K2041">
        <v>33</v>
      </c>
      <c r="M2041">
        <f t="shared" si="1140"/>
        <v>33</v>
      </c>
      <c r="N2041">
        <f t="shared" si="1141"/>
        <v>27</v>
      </c>
    </row>
    <row r="2042" spans="1:14" x14ac:dyDescent="0.25">
      <c r="A2042">
        <v>153</v>
      </c>
      <c r="B2042" s="1">
        <v>43999</v>
      </c>
      <c r="C2042" t="s">
        <v>347</v>
      </c>
      <c r="D2042" t="s">
        <v>25</v>
      </c>
      <c r="F2042" t="s">
        <v>58</v>
      </c>
      <c r="G2042">
        <v>1</v>
      </c>
      <c r="H2042">
        <v>60</v>
      </c>
      <c r="I2042">
        <f t="shared" si="1142"/>
        <v>60</v>
      </c>
      <c r="J2042" t="s">
        <v>165</v>
      </c>
      <c r="K2042">
        <v>33</v>
      </c>
      <c r="M2042">
        <f t="shared" si="1140"/>
        <v>33</v>
      </c>
      <c r="N2042">
        <f t="shared" si="1141"/>
        <v>27</v>
      </c>
    </row>
    <row r="2043" spans="1:14" x14ac:dyDescent="0.25">
      <c r="A2043">
        <v>154</v>
      </c>
      <c r="B2043" s="1">
        <v>43999</v>
      </c>
      <c r="C2043" t="s">
        <v>347</v>
      </c>
      <c r="D2043" t="s">
        <v>44</v>
      </c>
      <c r="F2043" t="s">
        <v>138</v>
      </c>
      <c r="G2043">
        <v>1</v>
      </c>
      <c r="H2043">
        <v>35</v>
      </c>
      <c r="I2043">
        <f t="shared" si="1142"/>
        <v>35</v>
      </c>
      <c r="J2043" t="s">
        <v>198</v>
      </c>
      <c r="K2043">
        <v>29</v>
      </c>
      <c r="M2043">
        <f t="shared" si="1140"/>
        <v>29</v>
      </c>
      <c r="N2043">
        <f t="shared" si="1141"/>
        <v>6</v>
      </c>
    </row>
    <row r="2044" spans="1:14" x14ac:dyDescent="0.25">
      <c r="A2044">
        <v>155</v>
      </c>
      <c r="B2044" s="1">
        <v>43999</v>
      </c>
      <c r="C2044" t="s">
        <v>347</v>
      </c>
      <c r="D2044" t="s">
        <v>56</v>
      </c>
      <c r="F2044" t="s">
        <v>267</v>
      </c>
      <c r="G2044">
        <v>1</v>
      </c>
      <c r="H2044">
        <v>170</v>
      </c>
      <c r="I2044">
        <f t="shared" si="1142"/>
        <v>170</v>
      </c>
      <c r="J2044" t="s">
        <v>163</v>
      </c>
      <c r="K2044">
        <v>123</v>
      </c>
      <c r="M2044">
        <f t="shared" si="1140"/>
        <v>123</v>
      </c>
      <c r="N2044">
        <f t="shared" si="1141"/>
        <v>47</v>
      </c>
    </row>
    <row r="2045" spans="1:14" x14ac:dyDescent="0.25">
      <c r="A2045">
        <v>156</v>
      </c>
      <c r="B2045" s="1">
        <v>43999</v>
      </c>
      <c r="C2045" t="s">
        <v>347</v>
      </c>
      <c r="D2045" t="s">
        <v>55</v>
      </c>
      <c r="F2045" t="s">
        <v>89</v>
      </c>
      <c r="G2045">
        <v>2</v>
      </c>
      <c r="H2045">
        <v>300</v>
      </c>
      <c r="I2045">
        <f t="shared" si="1142"/>
        <v>600</v>
      </c>
      <c r="J2045" t="s">
        <v>167</v>
      </c>
      <c r="K2045">
        <v>268</v>
      </c>
      <c r="M2045">
        <f t="shared" si="1140"/>
        <v>536</v>
      </c>
      <c r="N2045">
        <f t="shared" si="1141"/>
        <v>64</v>
      </c>
    </row>
    <row r="2046" spans="1:14" x14ac:dyDescent="0.25">
      <c r="A2046">
        <v>157</v>
      </c>
      <c r="B2046" s="1">
        <v>44000</v>
      </c>
      <c r="C2046" t="s">
        <v>347</v>
      </c>
      <c r="D2046" t="s">
        <v>55</v>
      </c>
      <c r="F2046" t="s">
        <v>378</v>
      </c>
      <c r="G2046">
        <f>10/16</f>
        <v>0.625</v>
      </c>
      <c r="H2046">
        <v>280</v>
      </c>
      <c r="I2046">
        <f t="shared" si="1142"/>
        <v>175</v>
      </c>
      <c r="J2046" t="s">
        <v>167</v>
      </c>
      <c r="K2046">
        <v>207</v>
      </c>
      <c r="M2046">
        <f t="shared" si="1140"/>
        <v>129.375</v>
      </c>
      <c r="N2046">
        <f t="shared" si="1141"/>
        <v>45.625</v>
      </c>
    </row>
    <row r="2047" spans="1:14" x14ac:dyDescent="0.25">
      <c r="A2047">
        <v>158</v>
      </c>
      <c r="B2047" s="1">
        <v>44000</v>
      </c>
      <c r="C2047" t="s">
        <v>347</v>
      </c>
      <c r="D2047" t="s">
        <v>75</v>
      </c>
      <c r="F2047" t="s">
        <v>154</v>
      </c>
      <c r="G2047">
        <v>9</v>
      </c>
      <c r="H2047">
        <v>45</v>
      </c>
      <c r="I2047">
        <f t="shared" si="1142"/>
        <v>405</v>
      </c>
      <c r="J2047" t="s">
        <v>163</v>
      </c>
      <c r="K2047">
        <v>30</v>
      </c>
      <c r="M2047">
        <f t="shared" si="1140"/>
        <v>270</v>
      </c>
      <c r="N2047">
        <f t="shared" si="1141"/>
        <v>135</v>
      </c>
    </row>
    <row r="2048" spans="1:14" x14ac:dyDescent="0.25">
      <c r="A2048">
        <v>159</v>
      </c>
      <c r="B2048" s="1">
        <v>44000</v>
      </c>
      <c r="C2048" t="s">
        <v>347</v>
      </c>
      <c r="D2048" t="s">
        <v>92</v>
      </c>
      <c r="F2048" t="s">
        <v>87</v>
      </c>
      <c r="G2048">
        <v>1</v>
      </c>
      <c r="H2048">
        <v>600</v>
      </c>
      <c r="I2048">
        <f t="shared" si="1142"/>
        <v>600</v>
      </c>
      <c r="J2048" t="s">
        <v>167</v>
      </c>
      <c r="K2048">
        <v>360</v>
      </c>
      <c r="M2048">
        <f t="shared" si="1140"/>
        <v>360</v>
      </c>
      <c r="N2048">
        <f t="shared" si="1141"/>
        <v>240</v>
      </c>
    </row>
    <row r="2049" spans="1:14" x14ac:dyDescent="0.25">
      <c r="A2049">
        <v>160</v>
      </c>
      <c r="B2049" s="1">
        <v>44000</v>
      </c>
      <c r="C2049" t="s">
        <v>347</v>
      </c>
      <c r="D2049" t="s">
        <v>92</v>
      </c>
      <c r="F2049" t="s">
        <v>380</v>
      </c>
      <c r="G2049">
        <v>1</v>
      </c>
      <c r="H2049">
        <v>275</v>
      </c>
      <c r="I2049">
        <f t="shared" si="1142"/>
        <v>275</v>
      </c>
      <c r="J2049" t="s">
        <v>198</v>
      </c>
      <c r="M2049" t="str">
        <f t="shared" si="1140"/>
        <v/>
      </c>
      <c r="N2049" t="str">
        <f t="shared" si="1141"/>
        <v/>
      </c>
    </row>
    <row r="2050" spans="1:14" x14ac:dyDescent="0.25">
      <c r="A2050">
        <v>161</v>
      </c>
      <c r="B2050" s="1">
        <v>44001</v>
      </c>
      <c r="C2050" t="s">
        <v>347</v>
      </c>
      <c r="D2050" t="s">
        <v>55</v>
      </c>
      <c r="F2050" t="s">
        <v>247</v>
      </c>
      <c r="G2050">
        <v>1</v>
      </c>
      <c r="H2050">
        <v>300</v>
      </c>
      <c r="I2050">
        <f t="shared" si="1142"/>
        <v>300</v>
      </c>
      <c r="J2050" t="s">
        <v>167</v>
      </c>
      <c r="K2050">
        <v>268</v>
      </c>
      <c r="M2050">
        <f t="shared" si="1140"/>
        <v>268</v>
      </c>
      <c r="N2050">
        <f t="shared" si="1141"/>
        <v>32</v>
      </c>
    </row>
    <row r="2051" spans="1:14" x14ac:dyDescent="0.25">
      <c r="A2051">
        <v>162</v>
      </c>
      <c r="B2051" s="1">
        <v>44001</v>
      </c>
      <c r="C2051" t="s">
        <v>347</v>
      </c>
      <c r="D2051" t="s">
        <v>15</v>
      </c>
      <c r="F2051" t="s">
        <v>95</v>
      </c>
      <c r="G2051">
        <v>1.3</v>
      </c>
      <c r="H2051">
        <v>280</v>
      </c>
      <c r="I2051">
        <f t="shared" si="1142"/>
        <v>364</v>
      </c>
      <c r="J2051" t="s">
        <v>163</v>
      </c>
      <c r="K2051">
        <v>247</v>
      </c>
      <c r="M2051">
        <f t="shared" si="1140"/>
        <v>321.10000000000002</v>
      </c>
      <c r="N2051">
        <f t="shared" si="1141"/>
        <v>42.899999999999977</v>
      </c>
    </row>
    <row r="2052" spans="1:14" x14ac:dyDescent="0.25">
      <c r="A2052">
        <v>163</v>
      </c>
      <c r="B2052" s="1">
        <v>44001</v>
      </c>
      <c r="C2052" t="s">
        <v>347</v>
      </c>
      <c r="D2052" t="s">
        <v>55</v>
      </c>
      <c r="F2052" t="s">
        <v>22</v>
      </c>
      <c r="G2052">
        <v>3</v>
      </c>
      <c r="H2052">
        <v>300</v>
      </c>
      <c r="I2052">
        <f t="shared" si="1142"/>
        <v>900</v>
      </c>
      <c r="J2052" t="s">
        <v>167</v>
      </c>
      <c r="K2052">
        <v>268</v>
      </c>
      <c r="M2052">
        <f t="shared" si="1140"/>
        <v>804</v>
      </c>
      <c r="N2052">
        <f t="shared" si="1141"/>
        <v>96</v>
      </c>
    </row>
    <row r="2053" spans="1:14" x14ac:dyDescent="0.25">
      <c r="A2053">
        <v>164</v>
      </c>
      <c r="B2053" s="1">
        <v>44001</v>
      </c>
      <c r="C2053" t="s">
        <v>347</v>
      </c>
      <c r="D2053" t="s">
        <v>44</v>
      </c>
      <c r="F2053" t="s">
        <v>138</v>
      </c>
      <c r="G2053">
        <v>1</v>
      </c>
      <c r="H2053">
        <v>35</v>
      </c>
      <c r="I2053">
        <f t="shared" si="1142"/>
        <v>35</v>
      </c>
      <c r="J2053" t="s">
        <v>198</v>
      </c>
      <c r="K2053">
        <v>29</v>
      </c>
      <c r="M2053">
        <f t="shared" ref="M2053:M2116" si="1143">+IF(K2053=0,(""),(K2053*G2053))</f>
        <v>29</v>
      </c>
      <c r="N2053">
        <f t="shared" ref="N2053:N2116" si="1144">+IF(K2053=0,(""),(I2053-M2053))</f>
        <v>6</v>
      </c>
    </row>
    <row r="2054" spans="1:14" x14ac:dyDescent="0.25">
      <c r="A2054">
        <v>165</v>
      </c>
      <c r="B2054" s="1">
        <v>44001</v>
      </c>
      <c r="C2054" t="s">
        <v>347</v>
      </c>
      <c r="D2054" t="s">
        <v>15</v>
      </c>
      <c r="F2054" t="s">
        <v>29</v>
      </c>
      <c r="G2054">
        <v>1</v>
      </c>
      <c r="H2054">
        <v>240</v>
      </c>
      <c r="I2054">
        <f t="shared" si="1142"/>
        <v>240</v>
      </c>
      <c r="J2054" t="s">
        <v>163</v>
      </c>
      <c r="K2054">
        <v>210</v>
      </c>
      <c r="M2054">
        <f t="shared" si="1143"/>
        <v>210</v>
      </c>
      <c r="N2054">
        <f t="shared" si="1144"/>
        <v>30</v>
      </c>
    </row>
    <row r="2055" spans="1:14" x14ac:dyDescent="0.25">
      <c r="A2055">
        <v>166</v>
      </c>
      <c r="B2055" s="1">
        <v>44001</v>
      </c>
      <c r="C2055" t="s">
        <v>347</v>
      </c>
      <c r="D2055" t="s">
        <v>15</v>
      </c>
      <c r="F2055" t="s">
        <v>312</v>
      </c>
      <c r="G2055">
        <v>10.61</v>
      </c>
      <c r="H2055">
        <v>295</v>
      </c>
      <c r="I2055">
        <f t="shared" si="1142"/>
        <v>3129.95</v>
      </c>
      <c r="J2055" t="s">
        <v>167</v>
      </c>
      <c r="K2055">
        <v>268</v>
      </c>
      <c r="M2055">
        <f t="shared" si="1143"/>
        <v>2843.48</v>
      </c>
      <c r="N2055">
        <f t="shared" si="1144"/>
        <v>286.4699999999998</v>
      </c>
    </row>
    <row r="2056" spans="1:14" x14ac:dyDescent="0.25">
      <c r="A2056">
        <v>167</v>
      </c>
      <c r="B2056" s="1">
        <v>44001</v>
      </c>
      <c r="C2056" t="s">
        <v>347</v>
      </c>
      <c r="D2056" t="s">
        <v>15</v>
      </c>
      <c r="F2056" t="s">
        <v>131</v>
      </c>
      <c r="G2056">
        <v>1</v>
      </c>
      <c r="H2056">
        <v>300</v>
      </c>
      <c r="I2056">
        <f t="shared" si="1142"/>
        <v>300</v>
      </c>
      <c r="J2056" t="s">
        <v>167</v>
      </c>
      <c r="K2056">
        <v>268</v>
      </c>
      <c r="M2056">
        <f t="shared" si="1143"/>
        <v>268</v>
      </c>
      <c r="N2056">
        <f t="shared" si="1144"/>
        <v>32</v>
      </c>
    </row>
    <row r="2057" spans="1:14" x14ac:dyDescent="0.25">
      <c r="A2057">
        <v>168</v>
      </c>
      <c r="B2057" s="1">
        <v>44001</v>
      </c>
      <c r="C2057" t="s">
        <v>347</v>
      </c>
      <c r="D2057" t="s">
        <v>70</v>
      </c>
      <c r="F2057" t="s">
        <v>227</v>
      </c>
      <c r="G2057">
        <v>1</v>
      </c>
      <c r="H2057">
        <v>1630</v>
      </c>
      <c r="I2057">
        <f t="shared" si="1142"/>
        <v>1630</v>
      </c>
      <c r="J2057" t="s">
        <v>167</v>
      </c>
      <c r="K2057">
        <v>1440</v>
      </c>
      <c r="M2057">
        <f t="shared" si="1143"/>
        <v>1440</v>
      </c>
      <c r="N2057">
        <f t="shared" si="1144"/>
        <v>190</v>
      </c>
    </row>
    <row r="2058" spans="1:14" x14ac:dyDescent="0.25">
      <c r="A2058">
        <v>169</v>
      </c>
      <c r="B2058" s="1">
        <v>44001</v>
      </c>
      <c r="C2058" t="s">
        <v>347</v>
      </c>
      <c r="D2058" t="s">
        <v>26</v>
      </c>
      <c r="F2058" t="s">
        <v>47</v>
      </c>
      <c r="G2058">
        <v>5.26</v>
      </c>
      <c r="H2058">
        <v>380</v>
      </c>
      <c r="I2058">
        <f t="shared" si="1142"/>
        <v>1998.8</v>
      </c>
      <c r="J2058" t="s">
        <v>99</v>
      </c>
      <c r="K2058">
        <v>312</v>
      </c>
      <c r="M2058">
        <f t="shared" si="1143"/>
        <v>1641.12</v>
      </c>
      <c r="N2058">
        <f t="shared" si="1144"/>
        <v>357.68000000000006</v>
      </c>
    </row>
    <row r="2059" spans="1:14" x14ac:dyDescent="0.25">
      <c r="A2059">
        <v>170</v>
      </c>
      <c r="B2059" s="1">
        <v>44001</v>
      </c>
      <c r="C2059" t="s">
        <v>347</v>
      </c>
      <c r="D2059" t="s">
        <v>55</v>
      </c>
      <c r="F2059" t="s">
        <v>22</v>
      </c>
      <c r="G2059">
        <f>6/17</f>
        <v>0.35294117647058826</v>
      </c>
      <c r="H2059">
        <v>300</v>
      </c>
      <c r="I2059">
        <f t="shared" si="1142"/>
        <v>105.88235294117648</v>
      </c>
      <c r="J2059" t="s">
        <v>167</v>
      </c>
      <c r="K2059">
        <v>268</v>
      </c>
      <c r="M2059">
        <f t="shared" si="1143"/>
        <v>94.588235294117652</v>
      </c>
      <c r="N2059">
        <f t="shared" si="1144"/>
        <v>11.294117647058826</v>
      </c>
    </row>
    <row r="2060" spans="1:14" x14ac:dyDescent="0.25">
      <c r="A2060">
        <v>171</v>
      </c>
      <c r="B2060" s="1">
        <v>44002</v>
      </c>
      <c r="C2060" t="s">
        <v>347</v>
      </c>
      <c r="D2060" t="s">
        <v>55</v>
      </c>
      <c r="F2060" t="s">
        <v>89</v>
      </c>
      <c r="G2060">
        <f>4/17</f>
        <v>0.23529411764705882</v>
      </c>
      <c r="H2060">
        <v>300</v>
      </c>
      <c r="I2060">
        <f t="shared" si="1142"/>
        <v>70.588235294117652</v>
      </c>
      <c r="J2060" t="s">
        <v>167</v>
      </c>
      <c r="K2060">
        <v>268</v>
      </c>
      <c r="M2060">
        <f t="shared" si="1143"/>
        <v>63.058823529411761</v>
      </c>
      <c r="N2060">
        <f t="shared" si="1144"/>
        <v>7.5294117647058911</v>
      </c>
    </row>
    <row r="2061" spans="1:14" x14ac:dyDescent="0.25">
      <c r="A2061">
        <v>172</v>
      </c>
      <c r="B2061" s="1">
        <v>44002</v>
      </c>
      <c r="C2061" t="s">
        <v>347</v>
      </c>
      <c r="D2061" t="s">
        <v>55</v>
      </c>
      <c r="F2061" t="s">
        <v>381</v>
      </c>
      <c r="G2061">
        <v>16</v>
      </c>
      <c r="H2061">
        <v>300</v>
      </c>
      <c r="I2061">
        <f t="shared" si="1142"/>
        <v>4800</v>
      </c>
      <c r="J2061" t="s">
        <v>167</v>
      </c>
      <c r="K2061">
        <v>268</v>
      </c>
      <c r="M2061">
        <f t="shared" si="1143"/>
        <v>4288</v>
      </c>
      <c r="N2061">
        <f t="shared" si="1144"/>
        <v>512</v>
      </c>
    </row>
    <row r="2062" spans="1:14" x14ac:dyDescent="0.25">
      <c r="A2062">
        <v>173</v>
      </c>
      <c r="B2062" s="1">
        <v>44002</v>
      </c>
      <c r="C2062" t="s">
        <v>347</v>
      </c>
      <c r="D2062" t="s">
        <v>15</v>
      </c>
      <c r="F2062" t="s">
        <v>31</v>
      </c>
      <c r="G2062">
        <v>4</v>
      </c>
      <c r="H2062">
        <v>280</v>
      </c>
      <c r="I2062">
        <f t="shared" si="1142"/>
        <v>1120</v>
      </c>
      <c r="J2062" t="s">
        <v>163</v>
      </c>
      <c r="K2062">
        <v>247</v>
      </c>
      <c r="M2062">
        <f t="shared" si="1143"/>
        <v>988</v>
      </c>
      <c r="N2062">
        <f t="shared" si="1144"/>
        <v>132</v>
      </c>
    </row>
    <row r="2063" spans="1:14" x14ac:dyDescent="0.25">
      <c r="A2063">
        <v>174</v>
      </c>
      <c r="B2063" s="1">
        <v>44002</v>
      </c>
      <c r="C2063" t="s">
        <v>347</v>
      </c>
      <c r="D2063" t="s">
        <v>56</v>
      </c>
      <c r="F2063" t="s">
        <v>267</v>
      </c>
      <c r="G2063">
        <v>9</v>
      </c>
      <c r="H2063">
        <v>170</v>
      </c>
      <c r="I2063">
        <f t="shared" si="1142"/>
        <v>1530</v>
      </c>
      <c r="J2063" t="s">
        <v>163</v>
      </c>
      <c r="K2063">
        <v>123</v>
      </c>
      <c r="M2063">
        <f t="shared" si="1143"/>
        <v>1107</v>
      </c>
      <c r="N2063">
        <f t="shared" si="1144"/>
        <v>423</v>
      </c>
    </row>
    <row r="2064" spans="1:14" x14ac:dyDescent="0.25">
      <c r="A2064">
        <v>175</v>
      </c>
      <c r="B2064" s="1">
        <v>44002</v>
      </c>
      <c r="C2064" t="s">
        <v>347</v>
      </c>
      <c r="D2064" t="s">
        <v>44</v>
      </c>
      <c r="F2064" t="s">
        <v>382</v>
      </c>
      <c r="G2064">
        <v>1</v>
      </c>
      <c r="H2064">
        <v>35</v>
      </c>
      <c r="I2064">
        <f t="shared" si="1142"/>
        <v>35</v>
      </c>
      <c r="J2064" t="s">
        <v>198</v>
      </c>
      <c r="K2064">
        <v>22</v>
      </c>
      <c r="M2064">
        <f t="shared" si="1143"/>
        <v>22</v>
      </c>
      <c r="N2064">
        <f t="shared" si="1144"/>
        <v>13</v>
      </c>
    </row>
    <row r="2065" spans="1:14" x14ac:dyDescent="0.25">
      <c r="A2065">
        <v>176</v>
      </c>
      <c r="B2065" s="1">
        <v>44002</v>
      </c>
      <c r="C2065" t="s">
        <v>347</v>
      </c>
      <c r="D2065" t="s">
        <v>24</v>
      </c>
      <c r="F2065" t="s">
        <v>24</v>
      </c>
      <c r="G2065">
        <v>1</v>
      </c>
      <c r="H2065">
        <v>100</v>
      </c>
      <c r="I2065">
        <f t="shared" si="1142"/>
        <v>100</v>
      </c>
      <c r="J2065" t="s">
        <v>186</v>
      </c>
      <c r="K2065">
        <v>68.22</v>
      </c>
      <c r="M2065">
        <f t="shared" si="1143"/>
        <v>68.22</v>
      </c>
      <c r="N2065">
        <f t="shared" si="1144"/>
        <v>31.78</v>
      </c>
    </row>
    <row r="2066" spans="1:14" x14ac:dyDescent="0.25">
      <c r="A2066">
        <v>177</v>
      </c>
      <c r="B2066" s="1">
        <v>44002</v>
      </c>
      <c r="C2066" t="s">
        <v>347</v>
      </c>
      <c r="D2066" t="s">
        <v>25</v>
      </c>
      <c r="F2066" t="s">
        <v>58</v>
      </c>
      <c r="G2066">
        <v>2</v>
      </c>
      <c r="H2066">
        <v>60</v>
      </c>
      <c r="I2066">
        <f t="shared" si="1142"/>
        <v>120</v>
      </c>
      <c r="J2066" t="s">
        <v>165</v>
      </c>
      <c r="K2066">
        <v>33</v>
      </c>
      <c r="M2066">
        <f t="shared" si="1143"/>
        <v>66</v>
      </c>
      <c r="N2066">
        <f t="shared" si="1144"/>
        <v>54</v>
      </c>
    </row>
    <row r="2067" spans="1:14" x14ac:dyDescent="0.25">
      <c r="A2067">
        <v>178</v>
      </c>
      <c r="B2067" s="1">
        <v>44002</v>
      </c>
      <c r="C2067" t="s">
        <v>347</v>
      </c>
      <c r="D2067" t="s">
        <v>23</v>
      </c>
      <c r="F2067" t="s">
        <v>215</v>
      </c>
      <c r="G2067">
        <v>1</v>
      </c>
      <c r="H2067">
        <v>35</v>
      </c>
      <c r="I2067">
        <f t="shared" si="1142"/>
        <v>35</v>
      </c>
      <c r="J2067" t="s">
        <v>187</v>
      </c>
      <c r="K2067">
        <v>26</v>
      </c>
      <c r="M2067">
        <f t="shared" si="1143"/>
        <v>26</v>
      </c>
      <c r="N2067">
        <f t="shared" si="1144"/>
        <v>9</v>
      </c>
    </row>
    <row r="2068" spans="1:14" x14ac:dyDescent="0.25">
      <c r="A2068">
        <v>179</v>
      </c>
      <c r="B2068" s="1">
        <v>44002</v>
      </c>
      <c r="C2068" t="s">
        <v>347</v>
      </c>
      <c r="D2068" t="s">
        <v>55</v>
      </c>
      <c r="F2068" t="s">
        <v>22</v>
      </c>
      <c r="G2068">
        <v>4</v>
      </c>
      <c r="H2068">
        <v>300</v>
      </c>
      <c r="I2068">
        <f t="shared" si="1142"/>
        <v>1200</v>
      </c>
      <c r="J2068" t="s">
        <v>167</v>
      </c>
      <c r="K2068">
        <v>268</v>
      </c>
      <c r="M2068">
        <f t="shared" si="1143"/>
        <v>1072</v>
      </c>
      <c r="N2068">
        <f t="shared" si="1144"/>
        <v>128</v>
      </c>
    </row>
    <row r="2069" spans="1:14" x14ac:dyDescent="0.25">
      <c r="A2069">
        <v>180</v>
      </c>
      <c r="B2069" s="1">
        <v>44002</v>
      </c>
      <c r="C2069" t="s">
        <v>347</v>
      </c>
      <c r="D2069" t="s">
        <v>56</v>
      </c>
      <c r="F2069" t="s">
        <v>267</v>
      </c>
      <c r="G2069">
        <v>1</v>
      </c>
      <c r="H2069">
        <v>170</v>
      </c>
      <c r="I2069">
        <f t="shared" si="1142"/>
        <v>170</v>
      </c>
      <c r="J2069" t="s">
        <v>163</v>
      </c>
      <c r="K2069">
        <v>123</v>
      </c>
      <c r="M2069">
        <f t="shared" si="1143"/>
        <v>123</v>
      </c>
      <c r="N2069">
        <f t="shared" si="1144"/>
        <v>47</v>
      </c>
    </row>
    <row r="2070" spans="1:14" x14ac:dyDescent="0.25">
      <c r="A2070">
        <v>181</v>
      </c>
      <c r="B2070" s="1">
        <v>44004</v>
      </c>
      <c r="C2070" t="s">
        <v>347</v>
      </c>
      <c r="D2070" t="s">
        <v>15</v>
      </c>
      <c r="F2070" t="s">
        <v>357</v>
      </c>
      <c r="G2070">
        <v>2.4</v>
      </c>
      <c r="H2070">
        <v>240</v>
      </c>
      <c r="I2070">
        <f t="shared" si="1142"/>
        <v>576</v>
      </c>
      <c r="J2070" t="s">
        <v>167</v>
      </c>
      <c r="K2070">
        <v>207</v>
      </c>
      <c r="M2070">
        <f t="shared" si="1143"/>
        <v>496.79999999999995</v>
      </c>
      <c r="N2070">
        <f t="shared" si="1144"/>
        <v>79.200000000000045</v>
      </c>
    </row>
    <row r="2071" spans="1:14" x14ac:dyDescent="0.25">
      <c r="A2071">
        <v>182</v>
      </c>
      <c r="B2071" s="1">
        <v>44004</v>
      </c>
      <c r="C2071" t="s">
        <v>347</v>
      </c>
      <c r="D2071" t="s">
        <v>56</v>
      </c>
      <c r="F2071" t="s">
        <v>267</v>
      </c>
      <c r="G2071">
        <v>18</v>
      </c>
      <c r="H2071">
        <v>170</v>
      </c>
      <c r="I2071">
        <f t="shared" si="1142"/>
        <v>3060</v>
      </c>
      <c r="J2071" t="s">
        <v>163</v>
      </c>
      <c r="K2071">
        <v>123</v>
      </c>
      <c r="M2071">
        <f t="shared" si="1143"/>
        <v>2214</v>
      </c>
      <c r="N2071">
        <f t="shared" si="1144"/>
        <v>846</v>
      </c>
    </row>
    <row r="2072" spans="1:14" x14ac:dyDescent="0.25">
      <c r="A2072">
        <v>183</v>
      </c>
      <c r="B2072" s="1">
        <v>44004</v>
      </c>
      <c r="C2072" t="s">
        <v>347</v>
      </c>
      <c r="D2072" t="s">
        <v>15</v>
      </c>
      <c r="F2072" t="s">
        <v>29</v>
      </c>
      <c r="G2072">
        <v>1</v>
      </c>
      <c r="H2072">
        <v>240</v>
      </c>
      <c r="I2072">
        <f t="shared" si="1142"/>
        <v>240</v>
      </c>
      <c r="J2072" t="s">
        <v>163</v>
      </c>
      <c r="K2072">
        <v>210</v>
      </c>
      <c r="M2072">
        <f t="shared" si="1143"/>
        <v>210</v>
      </c>
      <c r="N2072">
        <f t="shared" si="1144"/>
        <v>30</v>
      </c>
    </row>
    <row r="2073" spans="1:14" x14ac:dyDescent="0.25">
      <c r="A2073">
        <v>184</v>
      </c>
      <c r="B2073" s="1">
        <v>44004</v>
      </c>
      <c r="C2073" t="s">
        <v>347</v>
      </c>
      <c r="D2073" t="s">
        <v>15</v>
      </c>
      <c r="F2073" t="s">
        <v>20</v>
      </c>
      <c r="G2073">
        <v>42</v>
      </c>
      <c r="H2073">
        <v>240</v>
      </c>
      <c r="I2073">
        <f t="shared" ref="I2073:I2136" si="1145">+G2073*H2073</f>
        <v>10080</v>
      </c>
      <c r="J2073" t="s">
        <v>163</v>
      </c>
      <c r="K2073">
        <v>230</v>
      </c>
      <c r="M2073">
        <f t="shared" si="1143"/>
        <v>9660</v>
      </c>
      <c r="N2073">
        <f t="shared" si="1144"/>
        <v>420</v>
      </c>
    </row>
    <row r="2074" spans="1:14" x14ac:dyDescent="0.25">
      <c r="A2074">
        <v>185</v>
      </c>
      <c r="B2074" s="1">
        <v>44004</v>
      </c>
      <c r="C2074" t="s">
        <v>347</v>
      </c>
      <c r="D2074" t="s">
        <v>56</v>
      </c>
      <c r="F2074" t="s">
        <v>267</v>
      </c>
      <c r="G2074">
        <v>5</v>
      </c>
      <c r="H2074">
        <v>160</v>
      </c>
      <c r="I2074">
        <f t="shared" si="1145"/>
        <v>800</v>
      </c>
      <c r="J2074" t="s">
        <v>163</v>
      </c>
      <c r="K2074">
        <v>123</v>
      </c>
      <c r="M2074">
        <f t="shared" si="1143"/>
        <v>615</v>
      </c>
      <c r="N2074">
        <f t="shared" si="1144"/>
        <v>185</v>
      </c>
    </row>
    <row r="2075" spans="1:14" x14ac:dyDescent="0.25">
      <c r="A2075">
        <v>186</v>
      </c>
      <c r="B2075" s="1">
        <v>44005</v>
      </c>
      <c r="C2075" t="s">
        <v>347</v>
      </c>
      <c r="D2075" t="s">
        <v>75</v>
      </c>
      <c r="F2075" t="s">
        <v>154</v>
      </c>
      <c r="G2075">
        <v>35</v>
      </c>
      <c r="H2075">
        <v>30</v>
      </c>
      <c r="I2075">
        <f t="shared" si="1145"/>
        <v>1050</v>
      </c>
      <c r="J2075" t="s">
        <v>163</v>
      </c>
      <c r="K2075">
        <v>23</v>
      </c>
      <c r="M2075">
        <f t="shared" si="1143"/>
        <v>805</v>
      </c>
      <c r="N2075">
        <f t="shared" si="1144"/>
        <v>245</v>
      </c>
    </row>
    <row r="2076" spans="1:14" x14ac:dyDescent="0.25">
      <c r="A2076">
        <v>187</v>
      </c>
      <c r="B2076" s="1">
        <v>44005</v>
      </c>
      <c r="C2076" t="s">
        <v>347</v>
      </c>
      <c r="D2076" t="s">
        <v>55</v>
      </c>
      <c r="F2076" t="s">
        <v>22</v>
      </c>
      <c r="G2076">
        <f>13/17</f>
        <v>0.76470588235294112</v>
      </c>
      <c r="H2076">
        <v>300</v>
      </c>
      <c r="I2076">
        <f t="shared" si="1145"/>
        <v>229.41176470588235</v>
      </c>
      <c r="J2076" t="s">
        <v>167</v>
      </c>
      <c r="K2076">
        <v>268</v>
      </c>
      <c r="M2076">
        <f t="shared" si="1143"/>
        <v>204.94117647058823</v>
      </c>
      <c r="N2076">
        <f t="shared" si="1144"/>
        <v>24.470588235294116</v>
      </c>
    </row>
    <row r="2077" spans="1:14" x14ac:dyDescent="0.25">
      <c r="A2077">
        <v>188</v>
      </c>
      <c r="B2077" s="1">
        <v>44005</v>
      </c>
      <c r="C2077" t="s">
        <v>347</v>
      </c>
      <c r="D2077" t="s">
        <v>15</v>
      </c>
      <c r="F2077" t="s">
        <v>344</v>
      </c>
      <c r="G2077">
        <v>12</v>
      </c>
      <c r="H2077">
        <v>80</v>
      </c>
      <c r="I2077">
        <f t="shared" si="1145"/>
        <v>960</v>
      </c>
      <c r="J2077" t="s">
        <v>23</v>
      </c>
      <c r="M2077" t="str">
        <f t="shared" si="1143"/>
        <v/>
      </c>
      <c r="N2077" t="str">
        <f t="shared" si="1144"/>
        <v/>
      </c>
    </row>
    <row r="2078" spans="1:14" x14ac:dyDescent="0.25">
      <c r="A2078">
        <v>189</v>
      </c>
      <c r="B2078" s="1">
        <v>44005</v>
      </c>
      <c r="C2078" t="s">
        <v>347</v>
      </c>
      <c r="D2078" t="s">
        <v>55</v>
      </c>
      <c r="F2078" t="s">
        <v>247</v>
      </c>
      <c r="G2078">
        <f>3/17</f>
        <v>0.17647058823529413</v>
      </c>
      <c r="H2078">
        <v>300</v>
      </c>
      <c r="I2078">
        <f t="shared" si="1145"/>
        <v>52.941176470588239</v>
      </c>
      <c r="J2078" t="s">
        <v>167</v>
      </c>
      <c r="K2078">
        <v>268</v>
      </c>
      <c r="M2078">
        <f t="shared" si="1143"/>
        <v>47.294117647058826</v>
      </c>
      <c r="N2078">
        <f t="shared" si="1144"/>
        <v>5.647058823529413</v>
      </c>
    </row>
    <row r="2079" spans="1:14" x14ac:dyDescent="0.25">
      <c r="A2079">
        <v>190</v>
      </c>
      <c r="B2079" s="1">
        <v>44005</v>
      </c>
      <c r="C2079" t="s">
        <v>347</v>
      </c>
      <c r="D2079" t="s">
        <v>25</v>
      </c>
      <c r="F2079" t="s">
        <v>225</v>
      </c>
      <c r="G2079">
        <v>1</v>
      </c>
      <c r="H2079">
        <v>60</v>
      </c>
      <c r="I2079">
        <f t="shared" si="1145"/>
        <v>60</v>
      </c>
      <c r="J2079" t="s">
        <v>165</v>
      </c>
      <c r="K2079">
        <v>33</v>
      </c>
      <c r="M2079">
        <f t="shared" si="1143"/>
        <v>33</v>
      </c>
      <c r="N2079">
        <f t="shared" si="1144"/>
        <v>27</v>
      </c>
    </row>
    <row r="2080" spans="1:14" x14ac:dyDescent="0.25">
      <c r="A2080">
        <v>191</v>
      </c>
      <c r="B2080" s="1">
        <v>44005</v>
      </c>
      <c r="C2080" t="s">
        <v>347</v>
      </c>
      <c r="D2080" t="s">
        <v>25</v>
      </c>
      <c r="F2080" t="s">
        <v>383</v>
      </c>
      <c r="G2080">
        <v>2</v>
      </c>
      <c r="H2080">
        <v>60</v>
      </c>
      <c r="I2080">
        <f t="shared" si="1145"/>
        <v>120</v>
      </c>
      <c r="J2080" t="s">
        <v>165</v>
      </c>
      <c r="K2080">
        <v>33</v>
      </c>
      <c r="M2080">
        <f t="shared" si="1143"/>
        <v>66</v>
      </c>
      <c r="N2080">
        <f t="shared" si="1144"/>
        <v>54</v>
      </c>
    </row>
    <row r="2081" spans="1:14" x14ac:dyDescent="0.25">
      <c r="A2081">
        <v>192</v>
      </c>
      <c r="B2081" s="1">
        <v>44005</v>
      </c>
      <c r="C2081" t="s">
        <v>347</v>
      </c>
      <c r="D2081" t="s">
        <v>15</v>
      </c>
      <c r="F2081" t="s">
        <v>20</v>
      </c>
      <c r="G2081">
        <v>14</v>
      </c>
      <c r="H2081">
        <v>250</v>
      </c>
      <c r="I2081">
        <f t="shared" si="1145"/>
        <v>3500</v>
      </c>
      <c r="J2081" t="s">
        <v>163</v>
      </c>
      <c r="K2081">
        <v>230</v>
      </c>
      <c r="M2081">
        <f t="shared" si="1143"/>
        <v>3220</v>
      </c>
      <c r="N2081">
        <f t="shared" si="1144"/>
        <v>280</v>
      </c>
    </row>
    <row r="2082" spans="1:14" x14ac:dyDescent="0.25">
      <c r="A2082">
        <v>193</v>
      </c>
      <c r="B2082" s="1">
        <v>44005</v>
      </c>
      <c r="C2082" t="s">
        <v>347</v>
      </c>
      <c r="D2082" t="s">
        <v>56</v>
      </c>
      <c r="F2082" t="s">
        <v>267</v>
      </c>
      <c r="G2082">
        <v>5</v>
      </c>
      <c r="H2082">
        <v>170</v>
      </c>
      <c r="I2082">
        <f t="shared" si="1145"/>
        <v>850</v>
      </c>
      <c r="J2082" t="s">
        <v>163</v>
      </c>
      <c r="K2082">
        <v>123</v>
      </c>
      <c r="M2082">
        <f t="shared" si="1143"/>
        <v>615</v>
      </c>
      <c r="N2082">
        <f t="shared" si="1144"/>
        <v>235</v>
      </c>
    </row>
    <row r="2083" spans="1:14" x14ac:dyDescent="0.25">
      <c r="A2083">
        <v>194</v>
      </c>
      <c r="B2083" s="1">
        <v>44005</v>
      </c>
      <c r="C2083" t="s">
        <v>347</v>
      </c>
      <c r="D2083" t="s">
        <v>44</v>
      </c>
      <c r="F2083" t="s">
        <v>384</v>
      </c>
      <c r="G2083">
        <v>1</v>
      </c>
      <c r="H2083">
        <v>35</v>
      </c>
      <c r="I2083">
        <f t="shared" si="1145"/>
        <v>35</v>
      </c>
      <c r="J2083" t="s">
        <v>198</v>
      </c>
      <c r="K2083">
        <v>29</v>
      </c>
      <c r="M2083">
        <f t="shared" si="1143"/>
        <v>29</v>
      </c>
      <c r="N2083">
        <f t="shared" si="1144"/>
        <v>6</v>
      </c>
    </row>
    <row r="2084" spans="1:14" x14ac:dyDescent="0.25">
      <c r="A2084">
        <v>195</v>
      </c>
      <c r="B2084" s="1">
        <v>44005</v>
      </c>
      <c r="C2084" t="s">
        <v>347</v>
      </c>
      <c r="D2084" t="s">
        <v>25</v>
      </c>
      <c r="F2084" t="s">
        <v>218</v>
      </c>
      <c r="G2084">
        <v>1</v>
      </c>
      <c r="H2084">
        <v>100</v>
      </c>
      <c r="I2084">
        <f t="shared" si="1145"/>
        <v>100</v>
      </c>
      <c r="J2084" t="s">
        <v>163</v>
      </c>
      <c r="K2084">
        <v>70</v>
      </c>
      <c r="M2084">
        <f t="shared" si="1143"/>
        <v>70</v>
      </c>
      <c r="N2084">
        <f t="shared" si="1144"/>
        <v>30</v>
      </c>
    </row>
    <row r="2085" spans="1:14" x14ac:dyDescent="0.25">
      <c r="A2085">
        <v>196</v>
      </c>
      <c r="B2085" s="1">
        <v>44005</v>
      </c>
      <c r="C2085" t="s">
        <v>347</v>
      </c>
      <c r="D2085" t="s">
        <v>26</v>
      </c>
      <c r="F2085" t="s">
        <v>47</v>
      </c>
      <c r="G2085">
        <v>5.41</v>
      </c>
      <c r="H2085">
        <v>380</v>
      </c>
      <c r="I2085">
        <f t="shared" si="1145"/>
        <v>2055.8000000000002</v>
      </c>
      <c r="J2085" t="s">
        <v>99</v>
      </c>
      <c r="K2085">
        <v>312</v>
      </c>
      <c r="M2085">
        <f t="shared" si="1143"/>
        <v>1687.92</v>
      </c>
      <c r="N2085">
        <f t="shared" si="1144"/>
        <v>367.88000000000011</v>
      </c>
    </row>
    <row r="2086" spans="1:14" x14ac:dyDescent="0.25">
      <c r="A2086">
        <v>197</v>
      </c>
      <c r="B2086" s="1">
        <v>44006</v>
      </c>
      <c r="C2086" t="s">
        <v>347</v>
      </c>
      <c r="D2086" t="s">
        <v>15</v>
      </c>
      <c r="F2086" t="s">
        <v>385</v>
      </c>
      <c r="G2086">
        <v>3.5</v>
      </c>
      <c r="H2086">
        <v>240</v>
      </c>
      <c r="I2086">
        <f t="shared" si="1145"/>
        <v>840</v>
      </c>
      <c r="J2086" t="s">
        <v>167</v>
      </c>
      <c r="K2086">
        <v>207</v>
      </c>
      <c r="M2086">
        <f t="shared" si="1143"/>
        <v>724.5</v>
      </c>
      <c r="N2086">
        <f t="shared" si="1144"/>
        <v>115.5</v>
      </c>
    </row>
    <row r="2087" spans="1:14" x14ac:dyDescent="0.25">
      <c r="A2087">
        <v>198</v>
      </c>
      <c r="B2087" s="1">
        <v>44006</v>
      </c>
      <c r="C2087" t="s">
        <v>347</v>
      </c>
      <c r="D2087" t="s">
        <v>85</v>
      </c>
      <c r="F2087" t="s">
        <v>216</v>
      </c>
      <c r="G2087">
        <v>1</v>
      </c>
      <c r="H2087">
        <v>1100</v>
      </c>
      <c r="I2087">
        <f t="shared" si="1145"/>
        <v>1100</v>
      </c>
      <c r="J2087" t="s">
        <v>167</v>
      </c>
      <c r="K2087">
        <v>480</v>
      </c>
      <c r="M2087">
        <f t="shared" si="1143"/>
        <v>480</v>
      </c>
      <c r="N2087">
        <f t="shared" si="1144"/>
        <v>620</v>
      </c>
    </row>
    <row r="2088" spans="1:14" x14ac:dyDescent="0.25">
      <c r="A2088">
        <v>199</v>
      </c>
      <c r="B2088" s="1">
        <v>44006</v>
      </c>
      <c r="C2088" t="s">
        <v>347</v>
      </c>
      <c r="D2088" t="s">
        <v>26</v>
      </c>
      <c r="F2088" t="s">
        <v>144</v>
      </c>
      <c r="G2088">
        <f>1/2.77</f>
        <v>0.36101083032490977</v>
      </c>
      <c r="H2088">
        <v>425</v>
      </c>
      <c r="I2088">
        <f t="shared" si="1145"/>
        <v>153.42960288808666</v>
      </c>
      <c r="J2088" t="s">
        <v>99</v>
      </c>
      <c r="K2088">
        <v>360</v>
      </c>
      <c r="M2088">
        <f t="shared" si="1143"/>
        <v>129.96389891696751</v>
      </c>
      <c r="N2088">
        <f t="shared" si="1144"/>
        <v>23.465703971119154</v>
      </c>
    </row>
    <row r="2089" spans="1:14" x14ac:dyDescent="0.25">
      <c r="A2089">
        <v>200</v>
      </c>
      <c r="B2089" s="1">
        <v>44006</v>
      </c>
      <c r="C2089" t="s">
        <v>347</v>
      </c>
      <c r="D2089" t="s">
        <v>56</v>
      </c>
      <c r="F2089" t="s">
        <v>267</v>
      </c>
      <c r="G2089">
        <v>1</v>
      </c>
      <c r="H2089">
        <v>170</v>
      </c>
      <c r="I2089">
        <f t="shared" si="1145"/>
        <v>170</v>
      </c>
      <c r="J2089" t="s">
        <v>163</v>
      </c>
      <c r="K2089">
        <v>123</v>
      </c>
      <c r="M2089">
        <f t="shared" si="1143"/>
        <v>123</v>
      </c>
      <c r="N2089">
        <f t="shared" si="1144"/>
        <v>47</v>
      </c>
    </row>
    <row r="2090" spans="1:14" x14ac:dyDescent="0.25">
      <c r="A2090">
        <v>201</v>
      </c>
      <c r="B2090" s="1">
        <v>44007</v>
      </c>
      <c r="C2090" t="s">
        <v>347</v>
      </c>
      <c r="D2090" t="s">
        <v>68</v>
      </c>
      <c r="F2090" t="s">
        <v>386</v>
      </c>
      <c r="G2090">
        <v>2</v>
      </c>
      <c r="H2090">
        <v>190</v>
      </c>
      <c r="I2090">
        <f t="shared" si="1145"/>
        <v>380</v>
      </c>
      <c r="J2090" t="s">
        <v>395</v>
      </c>
      <c r="M2090" t="str">
        <f t="shared" si="1143"/>
        <v/>
      </c>
      <c r="N2090" t="str">
        <f t="shared" si="1144"/>
        <v/>
      </c>
    </row>
    <row r="2091" spans="1:14" x14ac:dyDescent="0.25">
      <c r="A2091">
        <v>202</v>
      </c>
      <c r="B2091" s="1">
        <v>44007</v>
      </c>
      <c r="C2091" t="s">
        <v>347</v>
      </c>
      <c r="D2091" t="s">
        <v>15</v>
      </c>
      <c r="F2091" t="s">
        <v>19</v>
      </c>
      <c r="G2091">
        <f>5/9</f>
        <v>0.55555555555555558</v>
      </c>
      <c r="H2091">
        <v>300</v>
      </c>
      <c r="I2091">
        <f t="shared" si="1145"/>
        <v>166.66666666666669</v>
      </c>
      <c r="J2091" t="s">
        <v>167</v>
      </c>
      <c r="K2091">
        <v>268</v>
      </c>
      <c r="M2091">
        <f t="shared" si="1143"/>
        <v>148.88888888888889</v>
      </c>
      <c r="N2091">
        <f t="shared" si="1144"/>
        <v>17.7777777777778</v>
      </c>
    </row>
    <row r="2092" spans="1:14" x14ac:dyDescent="0.25">
      <c r="A2092">
        <v>203</v>
      </c>
      <c r="B2092" s="1">
        <v>44007</v>
      </c>
      <c r="C2092" t="s">
        <v>347</v>
      </c>
      <c r="D2092" t="s">
        <v>15</v>
      </c>
      <c r="F2092" t="s">
        <v>153</v>
      </c>
      <c r="G2092">
        <v>1.5</v>
      </c>
      <c r="H2092">
        <v>280</v>
      </c>
      <c r="I2092">
        <f t="shared" si="1145"/>
        <v>420</v>
      </c>
      <c r="J2092" t="s">
        <v>163</v>
      </c>
      <c r="K2092">
        <v>220</v>
      </c>
      <c r="M2092">
        <f t="shared" si="1143"/>
        <v>330</v>
      </c>
      <c r="N2092">
        <f t="shared" si="1144"/>
        <v>90</v>
      </c>
    </row>
    <row r="2093" spans="1:14" x14ac:dyDescent="0.25">
      <c r="A2093">
        <v>204</v>
      </c>
      <c r="B2093" s="1">
        <v>44007</v>
      </c>
      <c r="C2093" t="s">
        <v>347</v>
      </c>
      <c r="D2093" t="s">
        <v>56</v>
      </c>
      <c r="F2093" t="s">
        <v>267</v>
      </c>
      <c r="G2093">
        <v>3</v>
      </c>
      <c r="H2093">
        <v>170</v>
      </c>
      <c r="I2093">
        <f t="shared" si="1145"/>
        <v>510</v>
      </c>
      <c r="J2093" t="s">
        <v>163</v>
      </c>
      <c r="K2093">
        <v>123</v>
      </c>
      <c r="M2093">
        <f t="shared" si="1143"/>
        <v>369</v>
      </c>
      <c r="N2093">
        <f t="shared" si="1144"/>
        <v>141</v>
      </c>
    </row>
    <row r="2094" spans="1:14" x14ac:dyDescent="0.25">
      <c r="A2094">
        <v>205</v>
      </c>
      <c r="B2094" s="1">
        <v>44007</v>
      </c>
      <c r="C2094" t="s">
        <v>347</v>
      </c>
      <c r="D2094" t="s">
        <v>56</v>
      </c>
      <c r="F2094" t="s">
        <v>176</v>
      </c>
      <c r="G2094">
        <v>2</v>
      </c>
      <c r="H2094">
        <v>260</v>
      </c>
      <c r="I2094">
        <f t="shared" si="1145"/>
        <v>520</v>
      </c>
      <c r="J2094" t="s">
        <v>163</v>
      </c>
      <c r="K2094">
        <v>200</v>
      </c>
      <c r="M2094">
        <f t="shared" si="1143"/>
        <v>400</v>
      </c>
      <c r="N2094">
        <f t="shared" si="1144"/>
        <v>120</v>
      </c>
    </row>
    <row r="2095" spans="1:14" x14ac:dyDescent="0.25">
      <c r="A2095">
        <v>206</v>
      </c>
      <c r="B2095" s="1">
        <v>44007</v>
      </c>
      <c r="C2095" t="s">
        <v>347</v>
      </c>
      <c r="D2095" t="s">
        <v>15</v>
      </c>
      <c r="F2095" t="s">
        <v>31</v>
      </c>
      <c r="G2095">
        <v>1</v>
      </c>
      <c r="H2095">
        <v>280</v>
      </c>
      <c r="I2095">
        <f t="shared" si="1145"/>
        <v>280</v>
      </c>
      <c r="J2095" t="s">
        <v>163</v>
      </c>
      <c r="K2095">
        <v>247</v>
      </c>
      <c r="M2095">
        <f t="shared" si="1143"/>
        <v>247</v>
      </c>
      <c r="N2095">
        <f t="shared" si="1144"/>
        <v>33</v>
      </c>
    </row>
    <row r="2096" spans="1:14" x14ac:dyDescent="0.25">
      <c r="A2096">
        <v>207</v>
      </c>
      <c r="B2096" s="1">
        <v>44007</v>
      </c>
      <c r="C2096" t="s">
        <v>347</v>
      </c>
      <c r="D2096" t="s">
        <v>92</v>
      </c>
      <c r="F2096" t="s">
        <v>91</v>
      </c>
      <c r="G2096">
        <v>1</v>
      </c>
      <c r="H2096">
        <v>45</v>
      </c>
      <c r="I2096">
        <f t="shared" si="1145"/>
        <v>45</v>
      </c>
      <c r="J2096" t="s">
        <v>166</v>
      </c>
      <c r="M2096" t="str">
        <f t="shared" si="1143"/>
        <v/>
      </c>
      <c r="N2096" t="str">
        <f t="shared" si="1144"/>
        <v/>
      </c>
    </row>
    <row r="2097" spans="1:14" x14ac:dyDescent="0.25">
      <c r="A2097">
        <v>208</v>
      </c>
      <c r="B2097" s="1">
        <v>44007</v>
      </c>
      <c r="C2097" t="s">
        <v>347</v>
      </c>
      <c r="D2097" t="s">
        <v>15</v>
      </c>
      <c r="F2097" t="s">
        <v>31</v>
      </c>
      <c r="G2097">
        <v>1</v>
      </c>
      <c r="H2097">
        <v>280</v>
      </c>
      <c r="I2097">
        <f t="shared" si="1145"/>
        <v>280</v>
      </c>
      <c r="J2097" t="s">
        <v>163</v>
      </c>
      <c r="K2097">
        <v>247</v>
      </c>
      <c r="M2097">
        <f t="shared" si="1143"/>
        <v>247</v>
      </c>
      <c r="N2097">
        <f t="shared" si="1144"/>
        <v>33</v>
      </c>
    </row>
    <row r="2098" spans="1:14" x14ac:dyDescent="0.25">
      <c r="A2098">
        <v>209</v>
      </c>
      <c r="B2098" s="1">
        <v>44007</v>
      </c>
      <c r="C2098" t="s">
        <v>347</v>
      </c>
      <c r="D2098" t="s">
        <v>15</v>
      </c>
      <c r="F2098" t="s">
        <v>357</v>
      </c>
      <c r="G2098">
        <v>3</v>
      </c>
      <c r="H2098">
        <v>235</v>
      </c>
      <c r="I2098">
        <f t="shared" si="1145"/>
        <v>705</v>
      </c>
      <c r="J2098" t="s">
        <v>167</v>
      </c>
      <c r="K2098">
        <v>207</v>
      </c>
      <c r="M2098">
        <f t="shared" si="1143"/>
        <v>621</v>
      </c>
      <c r="N2098">
        <f t="shared" si="1144"/>
        <v>84</v>
      </c>
    </row>
    <row r="2099" spans="1:14" x14ac:dyDescent="0.25">
      <c r="A2099">
        <v>210</v>
      </c>
      <c r="B2099" s="1">
        <v>44007</v>
      </c>
      <c r="C2099" t="s">
        <v>347</v>
      </c>
      <c r="D2099" t="s">
        <v>23</v>
      </c>
      <c r="F2099" t="s">
        <v>206</v>
      </c>
      <c r="G2099">
        <v>14</v>
      </c>
      <c r="H2099">
        <v>50</v>
      </c>
      <c r="I2099">
        <f t="shared" si="1145"/>
        <v>700</v>
      </c>
      <c r="J2099" t="s">
        <v>65</v>
      </c>
      <c r="M2099" t="str">
        <f t="shared" si="1143"/>
        <v/>
      </c>
      <c r="N2099" t="str">
        <f t="shared" si="1144"/>
        <v/>
      </c>
    </row>
    <row r="2100" spans="1:14" x14ac:dyDescent="0.25">
      <c r="A2100">
        <v>211</v>
      </c>
      <c r="B2100" s="1">
        <v>44007</v>
      </c>
      <c r="C2100" t="s">
        <v>347</v>
      </c>
      <c r="D2100" t="s">
        <v>23</v>
      </c>
      <c r="F2100" t="s">
        <v>215</v>
      </c>
      <c r="G2100">
        <v>1</v>
      </c>
      <c r="H2100">
        <v>35</v>
      </c>
      <c r="I2100">
        <f t="shared" si="1145"/>
        <v>35</v>
      </c>
      <c r="J2100" t="s">
        <v>187</v>
      </c>
      <c r="K2100">
        <v>26</v>
      </c>
      <c r="M2100">
        <f t="shared" si="1143"/>
        <v>26</v>
      </c>
      <c r="N2100">
        <f t="shared" si="1144"/>
        <v>9</v>
      </c>
    </row>
    <row r="2101" spans="1:14" x14ac:dyDescent="0.25">
      <c r="A2101">
        <v>212</v>
      </c>
      <c r="B2101" s="1">
        <v>44007</v>
      </c>
      <c r="C2101" t="s">
        <v>347</v>
      </c>
      <c r="D2101" t="s">
        <v>15</v>
      </c>
      <c r="F2101" t="s">
        <v>385</v>
      </c>
      <c r="G2101">
        <v>1</v>
      </c>
      <c r="H2101">
        <v>240</v>
      </c>
      <c r="I2101">
        <f t="shared" si="1145"/>
        <v>240</v>
      </c>
      <c r="J2101" t="s">
        <v>167</v>
      </c>
      <c r="K2101">
        <v>207</v>
      </c>
      <c r="M2101">
        <f t="shared" si="1143"/>
        <v>207</v>
      </c>
      <c r="N2101">
        <f t="shared" si="1144"/>
        <v>33</v>
      </c>
    </row>
    <row r="2102" spans="1:14" x14ac:dyDescent="0.25">
      <c r="A2102">
        <v>213</v>
      </c>
      <c r="B2102" s="1">
        <v>44007</v>
      </c>
      <c r="C2102" t="s">
        <v>347</v>
      </c>
      <c r="D2102" t="s">
        <v>56</v>
      </c>
      <c r="F2102" t="s">
        <v>267</v>
      </c>
      <c r="G2102">
        <v>1</v>
      </c>
      <c r="H2102">
        <v>170</v>
      </c>
      <c r="I2102">
        <f t="shared" si="1145"/>
        <v>170</v>
      </c>
      <c r="J2102" t="s">
        <v>163</v>
      </c>
      <c r="K2102">
        <v>123</v>
      </c>
      <c r="M2102">
        <f t="shared" si="1143"/>
        <v>123</v>
      </c>
      <c r="N2102">
        <f t="shared" si="1144"/>
        <v>47</v>
      </c>
    </row>
    <row r="2103" spans="1:14" x14ac:dyDescent="0.25">
      <c r="A2103">
        <v>214</v>
      </c>
      <c r="B2103" s="1">
        <v>44007</v>
      </c>
      <c r="C2103" t="s">
        <v>347</v>
      </c>
      <c r="D2103" t="s">
        <v>15</v>
      </c>
      <c r="F2103" t="s">
        <v>20</v>
      </c>
      <c r="G2103">
        <v>2</v>
      </c>
      <c r="H2103">
        <v>250</v>
      </c>
      <c r="I2103">
        <f t="shared" si="1145"/>
        <v>500</v>
      </c>
      <c r="J2103" t="s">
        <v>163</v>
      </c>
      <c r="K2103">
        <v>230</v>
      </c>
      <c r="M2103">
        <f t="shared" si="1143"/>
        <v>460</v>
      </c>
      <c r="N2103">
        <f t="shared" si="1144"/>
        <v>40</v>
      </c>
    </row>
    <row r="2104" spans="1:14" x14ac:dyDescent="0.25">
      <c r="A2104">
        <v>215</v>
      </c>
      <c r="B2104" s="1">
        <v>44007</v>
      </c>
      <c r="C2104" t="s">
        <v>347</v>
      </c>
      <c r="D2104" t="s">
        <v>26</v>
      </c>
      <c r="F2104" t="s">
        <v>47</v>
      </c>
      <c r="G2104">
        <v>4</v>
      </c>
      <c r="H2104">
        <v>350</v>
      </c>
      <c r="I2104">
        <f t="shared" si="1145"/>
        <v>1400</v>
      </c>
      <c r="J2104" t="s">
        <v>99</v>
      </c>
      <c r="K2104">
        <v>312</v>
      </c>
      <c r="M2104">
        <f t="shared" si="1143"/>
        <v>1248</v>
      </c>
      <c r="N2104">
        <f t="shared" si="1144"/>
        <v>152</v>
      </c>
    </row>
    <row r="2105" spans="1:14" x14ac:dyDescent="0.25">
      <c r="A2105">
        <v>216</v>
      </c>
      <c r="B2105" s="1">
        <v>44008</v>
      </c>
      <c r="C2105" t="s">
        <v>347</v>
      </c>
      <c r="D2105" t="s">
        <v>56</v>
      </c>
      <c r="F2105" t="s">
        <v>267</v>
      </c>
      <c r="G2105">
        <v>10</v>
      </c>
      <c r="H2105">
        <v>170</v>
      </c>
      <c r="I2105">
        <f t="shared" si="1145"/>
        <v>1700</v>
      </c>
      <c r="J2105" t="s">
        <v>163</v>
      </c>
      <c r="K2105">
        <v>123</v>
      </c>
      <c r="M2105">
        <f t="shared" si="1143"/>
        <v>1230</v>
      </c>
      <c r="N2105">
        <f t="shared" si="1144"/>
        <v>470</v>
      </c>
    </row>
    <row r="2106" spans="1:14" x14ac:dyDescent="0.25">
      <c r="A2106">
        <v>217</v>
      </c>
      <c r="B2106" s="1">
        <v>44008</v>
      </c>
      <c r="C2106" t="s">
        <v>347</v>
      </c>
      <c r="D2106" t="s">
        <v>15</v>
      </c>
      <c r="F2106" t="s">
        <v>20</v>
      </c>
      <c r="G2106">
        <v>4</v>
      </c>
      <c r="H2106">
        <v>240</v>
      </c>
      <c r="I2106">
        <f t="shared" si="1145"/>
        <v>960</v>
      </c>
      <c r="J2106" t="s">
        <v>163</v>
      </c>
      <c r="K2106">
        <v>230</v>
      </c>
      <c r="M2106">
        <f t="shared" si="1143"/>
        <v>920</v>
      </c>
      <c r="N2106">
        <f t="shared" si="1144"/>
        <v>40</v>
      </c>
    </row>
    <row r="2107" spans="1:14" x14ac:dyDescent="0.25">
      <c r="A2107">
        <v>218</v>
      </c>
      <c r="B2107" s="1">
        <v>44008</v>
      </c>
      <c r="C2107" t="s">
        <v>347</v>
      </c>
      <c r="D2107" t="s">
        <v>56</v>
      </c>
      <c r="F2107" t="s">
        <v>333</v>
      </c>
      <c r="G2107">
        <v>1</v>
      </c>
      <c r="H2107">
        <v>110</v>
      </c>
      <c r="I2107">
        <f t="shared" si="1145"/>
        <v>110</v>
      </c>
      <c r="J2107" t="s">
        <v>164</v>
      </c>
      <c r="K2107">
        <v>70</v>
      </c>
      <c r="M2107">
        <f t="shared" si="1143"/>
        <v>70</v>
      </c>
      <c r="N2107">
        <f t="shared" si="1144"/>
        <v>40</v>
      </c>
    </row>
    <row r="2108" spans="1:14" x14ac:dyDescent="0.25">
      <c r="A2108">
        <v>219</v>
      </c>
      <c r="B2108" s="1">
        <v>44008</v>
      </c>
      <c r="C2108" t="s">
        <v>347</v>
      </c>
      <c r="D2108" t="s">
        <v>56</v>
      </c>
      <c r="F2108" t="s">
        <v>176</v>
      </c>
      <c r="G2108">
        <v>2</v>
      </c>
      <c r="H2108">
        <v>260</v>
      </c>
      <c r="I2108">
        <f t="shared" si="1145"/>
        <v>520</v>
      </c>
      <c r="J2108" t="s">
        <v>163</v>
      </c>
      <c r="K2108">
        <v>200</v>
      </c>
      <c r="M2108">
        <f t="shared" si="1143"/>
        <v>400</v>
      </c>
      <c r="N2108">
        <f t="shared" si="1144"/>
        <v>120</v>
      </c>
    </row>
    <row r="2109" spans="1:14" x14ac:dyDescent="0.25">
      <c r="A2109">
        <v>220</v>
      </c>
      <c r="B2109" s="1">
        <v>44008</v>
      </c>
      <c r="C2109" t="s">
        <v>347</v>
      </c>
      <c r="D2109" t="s">
        <v>15</v>
      </c>
      <c r="F2109" t="s">
        <v>28</v>
      </c>
      <c r="G2109">
        <f>6/9</f>
        <v>0.66666666666666663</v>
      </c>
      <c r="H2109">
        <v>240</v>
      </c>
      <c r="I2109">
        <f t="shared" si="1145"/>
        <v>160</v>
      </c>
      <c r="J2109" t="s">
        <v>163</v>
      </c>
      <c r="K2109">
        <v>217</v>
      </c>
      <c r="M2109">
        <f t="shared" si="1143"/>
        <v>144.66666666666666</v>
      </c>
      <c r="N2109">
        <f t="shared" si="1144"/>
        <v>15.333333333333343</v>
      </c>
    </row>
    <row r="2110" spans="1:14" x14ac:dyDescent="0.25">
      <c r="A2110">
        <v>221</v>
      </c>
      <c r="B2110" s="1">
        <v>44009</v>
      </c>
      <c r="C2110" t="s">
        <v>347</v>
      </c>
      <c r="D2110" t="s">
        <v>24</v>
      </c>
      <c r="F2110" t="s">
        <v>24</v>
      </c>
      <c r="G2110">
        <v>3.2</v>
      </c>
      <c r="H2110">
        <v>100</v>
      </c>
      <c r="I2110">
        <f t="shared" si="1145"/>
        <v>320</v>
      </c>
      <c r="J2110" t="s">
        <v>186</v>
      </c>
      <c r="K2110">
        <v>68.22</v>
      </c>
      <c r="M2110">
        <f t="shared" si="1143"/>
        <v>218.304</v>
      </c>
      <c r="N2110">
        <f t="shared" si="1144"/>
        <v>101.696</v>
      </c>
    </row>
    <row r="2111" spans="1:14" x14ac:dyDescent="0.25">
      <c r="A2111">
        <v>222</v>
      </c>
      <c r="B2111" s="1">
        <v>44009</v>
      </c>
      <c r="C2111" t="s">
        <v>347</v>
      </c>
      <c r="D2111" t="s">
        <v>55</v>
      </c>
      <c r="F2111" t="s">
        <v>247</v>
      </c>
      <c r="G2111">
        <v>8</v>
      </c>
      <c r="H2111">
        <v>295</v>
      </c>
      <c r="I2111">
        <f t="shared" si="1145"/>
        <v>2360</v>
      </c>
      <c r="J2111" t="s">
        <v>167</v>
      </c>
      <c r="K2111">
        <v>268</v>
      </c>
      <c r="M2111">
        <f t="shared" si="1143"/>
        <v>2144</v>
      </c>
      <c r="N2111">
        <f t="shared" si="1144"/>
        <v>216</v>
      </c>
    </row>
    <row r="2112" spans="1:14" x14ac:dyDescent="0.25">
      <c r="A2112">
        <v>223</v>
      </c>
      <c r="B2112" s="1">
        <v>44009</v>
      </c>
      <c r="C2112" t="s">
        <v>347</v>
      </c>
      <c r="D2112" t="s">
        <v>15</v>
      </c>
      <c r="F2112" t="s">
        <v>252</v>
      </c>
      <c r="G2112">
        <v>3.5</v>
      </c>
      <c r="H2112">
        <v>280</v>
      </c>
      <c r="I2112">
        <f t="shared" si="1145"/>
        <v>980</v>
      </c>
      <c r="J2112" t="s">
        <v>163</v>
      </c>
      <c r="K2112">
        <v>247</v>
      </c>
      <c r="M2112">
        <f t="shared" si="1143"/>
        <v>864.5</v>
      </c>
      <c r="N2112">
        <f t="shared" si="1144"/>
        <v>115.5</v>
      </c>
    </row>
    <row r="2113" spans="1:14" x14ac:dyDescent="0.25">
      <c r="A2113">
        <v>224</v>
      </c>
      <c r="B2113" s="1">
        <v>44009</v>
      </c>
      <c r="C2113" t="s">
        <v>347</v>
      </c>
      <c r="D2113" t="s">
        <v>56</v>
      </c>
      <c r="F2113" t="s">
        <v>267</v>
      </c>
      <c r="G2113">
        <v>4</v>
      </c>
      <c r="H2113">
        <v>170</v>
      </c>
      <c r="I2113">
        <f t="shared" si="1145"/>
        <v>680</v>
      </c>
      <c r="J2113" t="s">
        <v>163</v>
      </c>
      <c r="K2113">
        <v>123</v>
      </c>
      <c r="M2113">
        <f t="shared" si="1143"/>
        <v>492</v>
      </c>
      <c r="N2113">
        <f t="shared" si="1144"/>
        <v>188</v>
      </c>
    </row>
    <row r="2114" spans="1:14" x14ac:dyDescent="0.25">
      <c r="A2114">
        <v>225</v>
      </c>
      <c r="B2114" s="1">
        <v>44009</v>
      </c>
      <c r="C2114" t="s">
        <v>347</v>
      </c>
      <c r="D2114" t="s">
        <v>25</v>
      </c>
      <c r="F2114" t="s">
        <v>337</v>
      </c>
      <c r="G2114">
        <v>2</v>
      </c>
      <c r="H2114">
        <v>60</v>
      </c>
      <c r="I2114">
        <f t="shared" si="1145"/>
        <v>120</v>
      </c>
      <c r="J2114" t="s">
        <v>165</v>
      </c>
      <c r="K2114">
        <v>33</v>
      </c>
      <c r="M2114">
        <f t="shared" si="1143"/>
        <v>66</v>
      </c>
      <c r="N2114">
        <f t="shared" si="1144"/>
        <v>54</v>
      </c>
    </row>
    <row r="2115" spans="1:14" x14ac:dyDescent="0.25">
      <c r="A2115">
        <v>226</v>
      </c>
      <c r="B2115" s="1">
        <v>44009</v>
      </c>
      <c r="C2115" t="s">
        <v>347</v>
      </c>
      <c r="D2115" t="s">
        <v>25</v>
      </c>
      <c r="F2115" t="s">
        <v>83</v>
      </c>
      <c r="G2115">
        <v>4</v>
      </c>
      <c r="H2115">
        <v>60</v>
      </c>
      <c r="I2115">
        <f t="shared" si="1145"/>
        <v>240</v>
      </c>
      <c r="J2115" t="s">
        <v>165</v>
      </c>
      <c r="K2115">
        <v>33</v>
      </c>
      <c r="M2115">
        <f t="shared" si="1143"/>
        <v>132</v>
      </c>
      <c r="N2115">
        <f t="shared" si="1144"/>
        <v>108</v>
      </c>
    </row>
    <row r="2116" spans="1:14" x14ac:dyDescent="0.25">
      <c r="A2116">
        <v>227</v>
      </c>
      <c r="B2116" s="1">
        <v>44009</v>
      </c>
      <c r="C2116" t="s">
        <v>347</v>
      </c>
      <c r="D2116" t="s">
        <v>56</v>
      </c>
      <c r="F2116" t="s">
        <v>267</v>
      </c>
      <c r="G2116">
        <v>1</v>
      </c>
      <c r="H2116">
        <v>170</v>
      </c>
      <c r="I2116">
        <f t="shared" si="1145"/>
        <v>170</v>
      </c>
      <c r="J2116" t="s">
        <v>163</v>
      </c>
      <c r="K2116">
        <v>123</v>
      </c>
      <c r="M2116">
        <f t="shared" si="1143"/>
        <v>123</v>
      </c>
      <c r="N2116">
        <f t="shared" si="1144"/>
        <v>47</v>
      </c>
    </row>
    <row r="2117" spans="1:14" x14ac:dyDescent="0.25">
      <c r="A2117">
        <v>228</v>
      </c>
      <c r="B2117" s="1">
        <v>44009</v>
      </c>
      <c r="C2117" t="s">
        <v>347</v>
      </c>
      <c r="D2117" t="s">
        <v>44</v>
      </c>
      <c r="F2117" t="s">
        <v>382</v>
      </c>
      <c r="G2117">
        <v>1</v>
      </c>
      <c r="H2117">
        <v>35</v>
      </c>
      <c r="I2117">
        <f t="shared" si="1145"/>
        <v>35</v>
      </c>
      <c r="J2117" t="s">
        <v>198</v>
      </c>
      <c r="K2117">
        <v>22</v>
      </c>
      <c r="M2117">
        <f t="shared" ref="M2117:M2180" si="1146">+IF(K2117=0,(""),(K2117*G2117))</f>
        <v>22</v>
      </c>
      <c r="N2117">
        <f t="shared" ref="N2117:N2180" si="1147">+IF(K2117=0,(""),(I2117-M2117))</f>
        <v>13</v>
      </c>
    </row>
    <row r="2118" spans="1:14" x14ac:dyDescent="0.25">
      <c r="A2118">
        <v>229</v>
      </c>
      <c r="B2118" s="1">
        <v>44009</v>
      </c>
      <c r="C2118" t="s">
        <v>347</v>
      </c>
      <c r="D2118" t="s">
        <v>25</v>
      </c>
      <c r="F2118" t="s">
        <v>203</v>
      </c>
      <c r="G2118">
        <v>1</v>
      </c>
      <c r="H2118">
        <v>100</v>
      </c>
      <c r="I2118">
        <f t="shared" si="1145"/>
        <v>100</v>
      </c>
      <c r="J2118" t="s">
        <v>163</v>
      </c>
      <c r="K2118">
        <v>70</v>
      </c>
      <c r="M2118">
        <f t="shared" si="1146"/>
        <v>70</v>
      </c>
      <c r="N2118">
        <f t="shared" si="1147"/>
        <v>30</v>
      </c>
    </row>
    <row r="2119" spans="1:14" x14ac:dyDescent="0.25">
      <c r="A2119">
        <v>230</v>
      </c>
      <c r="B2119" s="1">
        <v>44009</v>
      </c>
      <c r="C2119" t="s">
        <v>347</v>
      </c>
      <c r="D2119" t="s">
        <v>15</v>
      </c>
      <c r="F2119" t="s">
        <v>252</v>
      </c>
      <c r="G2119">
        <v>1.53</v>
      </c>
      <c r="H2119">
        <v>280</v>
      </c>
      <c r="I2119">
        <f t="shared" si="1145"/>
        <v>428.40000000000003</v>
      </c>
      <c r="J2119" t="s">
        <v>163</v>
      </c>
      <c r="K2119">
        <v>247</v>
      </c>
      <c r="M2119">
        <f t="shared" si="1146"/>
        <v>377.91</v>
      </c>
      <c r="N2119">
        <f t="shared" si="1147"/>
        <v>50.490000000000009</v>
      </c>
    </row>
    <row r="2120" spans="1:14" x14ac:dyDescent="0.25">
      <c r="A2120">
        <v>231</v>
      </c>
      <c r="B2120" s="1">
        <v>44009</v>
      </c>
      <c r="C2120" t="s">
        <v>347</v>
      </c>
      <c r="D2120" t="s">
        <v>15</v>
      </c>
      <c r="F2120" t="s">
        <v>252</v>
      </c>
      <c r="G2120">
        <v>1.5</v>
      </c>
      <c r="H2120">
        <v>280</v>
      </c>
      <c r="I2120">
        <f t="shared" si="1145"/>
        <v>420</v>
      </c>
      <c r="J2120" t="s">
        <v>163</v>
      </c>
      <c r="K2120">
        <v>247</v>
      </c>
      <c r="M2120">
        <f t="shared" si="1146"/>
        <v>370.5</v>
      </c>
      <c r="N2120">
        <f t="shared" si="1147"/>
        <v>49.5</v>
      </c>
    </row>
    <row r="2121" spans="1:14" x14ac:dyDescent="0.25">
      <c r="A2121">
        <v>232</v>
      </c>
      <c r="B2121" s="1">
        <v>44009</v>
      </c>
      <c r="C2121" t="s">
        <v>347</v>
      </c>
      <c r="D2121" t="s">
        <v>15</v>
      </c>
      <c r="F2121" t="s">
        <v>29</v>
      </c>
      <c r="G2121">
        <v>6</v>
      </c>
      <c r="H2121">
        <v>240</v>
      </c>
      <c r="I2121">
        <f t="shared" si="1145"/>
        <v>1440</v>
      </c>
      <c r="J2121" t="s">
        <v>163</v>
      </c>
      <c r="K2121">
        <v>210</v>
      </c>
      <c r="M2121">
        <f t="shared" si="1146"/>
        <v>1260</v>
      </c>
      <c r="N2121">
        <f t="shared" si="1147"/>
        <v>180</v>
      </c>
    </row>
    <row r="2122" spans="1:14" x14ac:dyDescent="0.25">
      <c r="A2122">
        <v>233</v>
      </c>
      <c r="B2122" s="1">
        <v>44009</v>
      </c>
      <c r="C2122" t="s">
        <v>347</v>
      </c>
      <c r="D2122" t="s">
        <v>44</v>
      </c>
      <c r="F2122" t="s">
        <v>382</v>
      </c>
      <c r="G2122">
        <v>1</v>
      </c>
      <c r="H2122">
        <v>35</v>
      </c>
      <c r="I2122">
        <f t="shared" si="1145"/>
        <v>35</v>
      </c>
      <c r="J2122" t="s">
        <v>198</v>
      </c>
      <c r="K2122">
        <v>22</v>
      </c>
      <c r="M2122">
        <f t="shared" si="1146"/>
        <v>22</v>
      </c>
      <c r="N2122">
        <f t="shared" si="1147"/>
        <v>13</v>
      </c>
    </row>
    <row r="2123" spans="1:14" x14ac:dyDescent="0.25">
      <c r="A2123">
        <v>234</v>
      </c>
      <c r="B2123" s="1">
        <v>44009</v>
      </c>
      <c r="C2123" t="s">
        <v>347</v>
      </c>
      <c r="D2123" t="s">
        <v>25</v>
      </c>
      <c r="F2123" t="s">
        <v>145</v>
      </c>
      <c r="G2123">
        <v>1</v>
      </c>
      <c r="H2123">
        <v>100</v>
      </c>
      <c r="I2123">
        <f t="shared" si="1145"/>
        <v>100</v>
      </c>
      <c r="J2123" t="s">
        <v>163</v>
      </c>
      <c r="K2123">
        <v>70</v>
      </c>
      <c r="M2123">
        <f t="shared" si="1146"/>
        <v>70</v>
      </c>
      <c r="N2123">
        <f t="shared" si="1147"/>
        <v>30</v>
      </c>
    </row>
    <row r="2124" spans="1:14" x14ac:dyDescent="0.25">
      <c r="A2124">
        <v>235</v>
      </c>
      <c r="B2124" s="1">
        <v>44009</v>
      </c>
      <c r="C2124" t="s">
        <v>347</v>
      </c>
      <c r="D2124" t="s">
        <v>26</v>
      </c>
      <c r="F2124" t="s">
        <v>47</v>
      </c>
      <c r="G2124">
        <v>52</v>
      </c>
      <c r="H2124">
        <v>350</v>
      </c>
      <c r="I2124">
        <f t="shared" si="1145"/>
        <v>18200</v>
      </c>
      <c r="J2124" t="s">
        <v>99</v>
      </c>
      <c r="K2124">
        <v>261</v>
      </c>
      <c r="M2124">
        <f t="shared" si="1146"/>
        <v>13572</v>
      </c>
      <c r="N2124">
        <f t="shared" si="1147"/>
        <v>4628</v>
      </c>
    </row>
    <row r="2125" spans="1:14" x14ac:dyDescent="0.25">
      <c r="A2125">
        <v>236</v>
      </c>
      <c r="B2125" s="1">
        <v>44009</v>
      </c>
      <c r="C2125" t="s">
        <v>347</v>
      </c>
      <c r="D2125" t="s">
        <v>56</v>
      </c>
      <c r="F2125" t="s">
        <v>38</v>
      </c>
      <c r="G2125">
        <v>4</v>
      </c>
      <c r="H2125">
        <v>100</v>
      </c>
      <c r="I2125">
        <f t="shared" si="1145"/>
        <v>400</v>
      </c>
      <c r="J2125" t="s">
        <v>164</v>
      </c>
      <c r="K2125">
        <v>70</v>
      </c>
      <c r="M2125">
        <f t="shared" si="1146"/>
        <v>280</v>
      </c>
      <c r="N2125">
        <f t="shared" si="1147"/>
        <v>120</v>
      </c>
    </row>
    <row r="2126" spans="1:14" x14ac:dyDescent="0.25">
      <c r="A2126">
        <v>237</v>
      </c>
      <c r="B2126" s="1">
        <v>44011</v>
      </c>
      <c r="C2126" t="s">
        <v>347</v>
      </c>
      <c r="D2126" t="s">
        <v>25</v>
      </c>
      <c r="F2126" t="s">
        <v>145</v>
      </c>
      <c r="G2126">
        <v>3</v>
      </c>
      <c r="H2126">
        <v>100</v>
      </c>
      <c r="I2126">
        <f t="shared" si="1145"/>
        <v>300</v>
      </c>
      <c r="J2126" t="s">
        <v>163</v>
      </c>
      <c r="K2126">
        <v>70</v>
      </c>
      <c r="M2126">
        <f t="shared" si="1146"/>
        <v>210</v>
      </c>
      <c r="N2126">
        <f t="shared" si="1147"/>
        <v>90</v>
      </c>
    </row>
    <row r="2127" spans="1:14" x14ac:dyDescent="0.25">
      <c r="A2127">
        <v>238</v>
      </c>
      <c r="B2127" s="1">
        <v>44011</v>
      </c>
      <c r="C2127" t="s">
        <v>347</v>
      </c>
      <c r="D2127" t="s">
        <v>44</v>
      </c>
      <c r="F2127" t="s">
        <v>382</v>
      </c>
      <c r="G2127">
        <v>1</v>
      </c>
      <c r="H2127">
        <v>35</v>
      </c>
      <c r="I2127">
        <f t="shared" si="1145"/>
        <v>35</v>
      </c>
      <c r="J2127" t="s">
        <v>198</v>
      </c>
      <c r="K2127">
        <v>22</v>
      </c>
      <c r="M2127">
        <f t="shared" si="1146"/>
        <v>22</v>
      </c>
      <c r="N2127">
        <f t="shared" si="1147"/>
        <v>13</v>
      </c>
    </row>
    <row r="2128" spans="1:14" x14ac:dyDescent="0.25">
      <c r="A2128">
        <v>239</v>
      </c>
      <c r="B2128" s="1">
        <v>44011</v>
      </c>
      <c r="C2128" t="s">
        <v>347</v>
      </c>
      <c r="D2128" t="s">
        <v>15</v>
      </c>
      <c r="F2128" t="s">
        <v>29</v>
      </c>
      <c r="G2128">
        <v>30</v>
      </c>
      <c r="H2128">
        <v>240</v>
      </c>
      <c r="I2128">
        <f t="shared" si="1145"/>
        <v>7200</v>
      </c>
      <c r="J2128" t="s">
        <v>163</v>
      </c>
      <c r="K2128">
        <v>210</v>
      </c>
      <c r="M2128">
        <f t="shared" si="1146"/>
        <v>6300</v>
      </c>
      <c r="N2128">
        <f t="shared" si="1147"/>
        <v>900</v>
      </c>
    </row>
    <row r="2129" spans="1:14" x14ac:dyDescent="0.25">
      <c r="A2129">
        <v>240</v>
      </c>
      <c r="B2129" s="1">
        <v>44011</v>
      </c>
      <c r="C2129" t="s">
        <v>347</v>
      </c>
      <c r="D2129" t="s">
        <v>56</v>
      </c>
      <c r="F2129" t="s">
        <v>333</v>
      </c>
      <c r="G2129">
        <v>10</v>
      </c>
      <c r="H2129">
        <v>100</v>
      </c>
      <c r="I2129">
        <f t="shared" si="1145"/>
        <v>1000</v>
      </c>
      <c r="J2129" t="s">
        <v>164</v>
      </c>
      <c r="K2129">
        <v>70</v>
      </c>
      <c r="M2129">
        <f t="shared" si="1146"/>
        <v>700</v>
      </c>
      <c r="N2129">
        <f t="shared" si="1147"/>
        <v>300</v>
      </c>
    </row>
    <row r="2130" spans="1:14" x14ac:dyDescent="0.25">
      <c r="A2130">
        <v>241</v>
      </c>
      <c r="B2130" s="1">
        <v>44011</v>
      </c>
      <c r="C2130" t="s">
        <v>347</v>
      </c>
      <c r="D2130" t="s">
        <v>15</v>
      </c>
      <c r="F2130" t="s">
        <v>28</v>
      </c>
      <c r="G2130">
        <f>5/9</f>
        <v>0.55555555555555558</v>
      </c>
      <c r="H2130">
        <v>240</v>
      </c>
      <c r="I2130">
        <f t="shared" si="1145"/>
        <v>133.33333333333334</v>
      </c>
      <c r="J2130" t="s">
        <v>163</v>
      </c>
      <c r="K2130">
        <v>217</v>
      </c>
      <c r="M2130">
        <f t="shared" si="1146"/>
        <v>120.55555555555556</v>
      </c>
      <c r="N2130">
        <f t="shared" si="1147"/>
        <v>12.777777777777786</v>
      </c>
    </row>
    <row r="2131" spans="1:14" x14ac:dyDescent="0.25">
      <c r="A2131">
        <v>242</v>
      </c>
      <c r="B2131" s="1">
        <v>44011</v>
      </c>
      <c r="C2131" t="s">
        <v>347</v>
      </c>
      <c r="D2131" t="s">
        <v>15</v>
      </c>
      <c r="F2131" t="s">
        <v>29</v>
      </c>
      <c r="G2131">
        <f>5/9</f>
        <v>0.55555555555555558</v>
      </c>
      <c r="H2131">
        <v>240</v>
      </c>
      <c r="I2131">
        <f t="shared" si="1145"/>
        <v>133.33333333333334</v>
      </c>
      <c r="J2131" t="s">
        <v>163</v>
      </c>
      <c r="K2131">
        <v>210</v>
      </c>
      <c r="M2131">
        <f t="shared" si="1146"/>
        <v>116.66666666666667</v>
      </c>
      <c r="N2131">
        <f t="shared" si="1147"/>
        <v>16.666666666666671</v>
      </c>
    </row>
    <row r="2132" spans="1:14" x14ac:dyDescent="0.25">
      <c r="A2132">
        <v>243</v>
      </c>
      <c r="B2132" s="1">
        <v>44011</v>
      </c>
      <c r="C2132" t="s">
        <v>347</v>
      </c>
      <c r="D2132" t="s">
        <v>15</v>
      </c>
      <c r="F2132" t="s">
        <v>28</v>
      </c>
      <c r="G2132">
        <v>3</v>
      </c>
      <c r="H2132">
        <v>240</v>
      </c>
      <c r="I2132">
        <f t="shared" si="1145"/>
        <v>720</v>
      </c>
      <c r="J2132" t="s">
        <v>163</v>
      </c>
      <c r="K2132">
        <v>217</v>
      </c>
      <c r="M2132">
        <f t="shared" si="1146"/>
        <v>651</v>
      </c>
      <c r="N2132">
        <f t="shared" si="1147"/>
        <v>69</v>
      </c>
    </row>
    <row r="2133" spans="1:14" x14ac:dyDescent="0.25">
      <c r="A2133">
        <v>244</v>
      </c>
      <c r="B2133" s="1">
        <v>44011</v>
      </c>
      <c r="C2133" t="s">
        <v>347</v>
      </c>
      <c r="D2133" t="s">
        <v>56</v>
      </c>
      <c r="F2133" t="s">
        <v>267</v>
      </c>
      <c r="G2133">
        <v>1</v>
      </c>
      <c r="H2133">
        <v>170</v>
      </c>
      <c r="I2133">
        <f t="shared" si="1145"/>
        <v>170</v>
      </c>
      <c r="J2133" t="s">
        <v>163</v>
      </c>
      <c r="K2133">
        <v>123</v>
      </c>
      <c r="M2133">
        <f t="shared" si="1146"/>
        <v>123</v>
      </c>
      <c r="N2133">
        <f t="shared" si="1147"/>
        <v>47</v>
      </c>
    </row>
    <row r="2134" spans="1:14" x14ac:dyDescent="0.25">
      <c r="A2134">
        <v>245</v>
      </c>
      <c r="B2134" s="1">
        <v>44011</v>
      </c>
      <c r="C2134" t="s">
        <v>347</v>
      </c>
      <c r="D2134" t="s">
        <v>85</v>
      </c>
      <c r="F2134" t="s">
        <v>152</v>
      </c>
      <c r="G2134">
        <v>1</v>
      </c>
      <c r="H2134">
        <v>85</v>
      </c>
      <c r="I2134">
        <f t="shared" si="1145"/>
        <v>85</v>
      </c>
      <c r="J2134" t="s">
        <v>163</v>
      </c>
      <c r="K2134">
        <v>70</v>
      </c>
      <c r="M2134">
        <f t="shared" si="1146"/>
        <v>70</v>
      </c>
      <c r="N2134">
        <f t="shared" si="1147"/>
        <v>15</v>
      </c>
    </row>
    <row r="2135" spans="1:14" x14ac:dyDescent="0.25">
      <c r="A2135">
        <v>246</v>
      </c>
      <c r="B2135" s="1">
        <v>44011</v>
      </c>
      <c r="C2135" t="s">
        <v>347</v>
      </c>
      <c r="D2135" t="s">
        <v>85</v>
      </c>
      <c r="F2135" t="s">
        <v>152</v>
      </c>
      <c r="G2135">
        <v>1</v>
      </c>
      <c r="H2135">
        <v>85</v>
      </c>
      <c r="I2135">
        <f t="shared" si="1145"/>
        <v>85</v>
      </c>
      <c r="J2135" t="s">
        <v>163</v>
      </c>
      <c r="K2135">
        <v>70</v>
      </c>
      <c r="M2135">
        <f t="shared" si="1146"/>
        <v>70</v>
      </c>
      <c r="N2135">
        <f t="shared" si="1147"/>
        <v>15</v>
      </c>
    </row>
    <row r="2136" spans="1:14" x14ac:dyDescent="0.25">
      <c r="A2136">
        <v>247</v>
      </c>
      <c r="B2136" s="1">
        <v>44011</v>
      </c>
      <c r="C2136" t="s">
        <v>347</v>
      </c>
      <c r="D2136" t="s">
        <v>44</v>
      </c>
      <c r="F2136" t="s">
        <v>384</v>
      </c>
      <c r="G2136">
        <v>2</v>
      </c>
      <c r="H2136">
        <v>35</v>
      </c>
      <c r="I2136">
        <f t="shared" si="1145"/>
        <v>70</v>
      </c>
      <c r="J2136" t="s">
        <v>198</v>
      </c>
      <c r="K2136">
        <v>29</v>
      </c>
      <c r="M2136">
        <f t="shared" si="1146"/>
        <v>58</v>
      </c>
      <c r="N2136">
        <f t="shared" si="1147"/>
        <v>12</v>
      </c>
    </row>
    <row r="2137" spans="1:14" x14ac:dyDescent="0.25">
      <c r="A2137">
        <v>248</v>
      </c>
      <c r="B2137" s="1">
        <v>44011</v>
      </c>
      <c r="C2137" t="s">
        <v>347</v>
      </c>
      <c r="D2137" t="s">
        <v>15</v>
      </c>
      <c r="F2137" t="s">
        <v>63</v>
      </c>
      <c r="G2137">
        <v>1</v>
      </c>
      <c r="H2137">
        <v>290</v>
      </c>
      <c r="I2137">
        <f t="shared" ref="I2137:I2200" si="1148">+G2137*H2137</f>
        <v>290</v>
      </c>
      <c r="J2137" t="s">
        <v>163</v>
      </c>
      <c r="K2137">
        <v>205</v>
      </c>
      <c r="M2137">
        <f t="shared" si="1146"/>
        <v>205</v>
      </c>
      <c r="N2137">
        <f t="shared" si="1147"/>
        <v>85</v>
      </c>
    </row>
    <row r="2138" spans="1:14" x14ac:dyDescent="0.25">
      <c r="A2138">
        <v>249</v>
      </c>
      <c r="B2138" s="1">
        <v>44011</v>
      </c>
      <c r="C2138" t="s">
        <v>347</v>
      </c>
      <c r="D2138" t="s">
        <v>15</v>
      </c>
      <c r="F2138" t="s">
        <v>63</v>
      </c>
      <c r="G2138">
        <v>15</v>
      </c>
      <c r="H2138">
        <v>290</v>
      </c>
      <c r="I2138">
        <f t="shared" si="1148"/>
        <v>4350</v>
      </c>
      <c r="J2138" t="s">
        <v>163</v>
      </c>
      <c r="K2138">
        <v>240</v>
      </c>
      <c r="M2138">
        <f t="shared" si="1146"/>
        <v>3600</v>
      </c>
      <c r="N2138">
        <f t="shared" si="1147"/>
        <v>750</v>
      </c>
    </row>
    <row r="2139" spans="1:14" x14ac:dyDescent="0.25">
      <c r="A2139">
        <v>250</v>
      </c>
      <c r="B2139" s="1">
        <v>44012</v>
      </c>
      <c r="C2139" t="s">
        <v>347</v>
      </c>
      <c r="D2139" t="s">
        <v>70</v>
      </c>
      <c r="F2139" t="s">
        <v>227</v>
      </c>
      <c r="G2139">
        <v>1</v>
      </c>
      <c r="H2139">
        <v>1650</v>
      </c>
      <c r="I2139">
        <f t="shared" si="1148"/>
        <v>1650</v>
      </c>
      <c r="J2139" t="s">
        <v>167</v>
      </c>
      <c r="K2139">
        <v>1440</v>
      </c>
      <c r="M2139">
        <f t="shared" si="1146"/>
        <v>1440</v>
      </c>
      <c r="N2139">
        <f t="shared" si="1147"/>
        <v>210</v>
      </c>
    </row>
    <row r="2140" spans="1:14" x14ac:dyDescent="0.25">
      <c r="A2140">
        <v>251</v>
      </c>
      <c r="B2140" s="1">
        <v>44012</v>
      </c>
      <c r="C2140" t="s">
        <v>347</v>
      </c>
      <c r="D2140" t="s">
        <v>55</v>
      </c>
      <c r="F2140" t="s">
        <v>247</v>
      </c>
      <c r="G2140">
        <v>5</v>
      </c>
      <c r="H2140">
        <v>300</v>
      </c>
      <c r="I2140">
        <f t="shared" si="1148"/>
        <v>1500</v>
      </c>
      <c r="J2140" t="s">
        <v>167</v>
      </c>
      <c r="K2140">
        <v>268</v>
      </c>
      <c r="M2140">
        <f t="shared" si="1146"/>
        <v>1340</v>
      </c>
      <c r="N2140">
        <f t="shared" si="1147"/>
        <v>160</v>
      </c>
    </row>
    <row r="2141" spans="1:14" x14ac:dyDescent="0.25">
      <c r="A2141">
        <v>252</v>
      </c>
      <c r="B2141" s="1">
        <v>44012</v>
      </c>
      <c r="C2141" t="s">
        <v>347</v>
      </c>
      <c r="D2141" t="s">
        <v>15</v>
      </c>
      <c r="F2141" t="s">
        <v>28</v>
      </c>
      <c r="G2141">
        <v>2</v>
      </c>
      <c r="H2141">
        <v>240</v>
      </c>
      <c r="I2141">
        <f t="shared" si="1148"/>
        <v>480</v>
      </c>
      <c r="J2141" t="s">
        <v>163</v>
      </c>
      <c r="K2141">
        <v>217</v>
      </c>
      <c r="M2141">
        <f t="shared" si="1146"/>
        <v>434</v>
      </c>
      <c r="N2141">
        <f t="shared" si="1147"/>
        <v>46</v>
      </c>
    </row>
    <row r="2142" spans="1:14" x14ac:dyDescent="0.25">
      <c r="A2142">
        <v>253</v>
      </c>
      <c r="B2142" s="1">
        <v>44012</v>
      </c>
      <c r="C2142" t="s">
        <v>347</v>
      </c>
      <c r="D2142" t="s">
        <v>55</v>
      </c>
      <c r="F2142" t="s">
        <v>108</v>
      </c>
      <c r="G2142">
        <f>11/17</f>
        <v>0.6470588235294118</v>
      </c>
      <c r="H2142">
        <v>300</v>
      </c>
      <c r="I2142">
        <f t="shared" si="1148"/>
        <v>194.11764705882354</v>
      </c>
      <c r="J2142" t="s">
        <v>167</v>
      </c>
      <c r="K2142">
        <v>268</v>
      </c>
      <c r="M2142">
        <f t="shared" si="1146"/>
        <v>173.41176470588235</v>
      </c>
      <c r="N2142">
        <f t="shared" si="1147"/>
        <v>20.705882352941188</v>
      </c>
    </row>
    <row r="2143" spans="1:14" x14ac:dyDescent="0.25">
      <c r="A2143">
        <v>254</v>
      </c>
      <c r="B2143" s="1">
        <v>44012</v>
      </c>
      <c r="C2143" t="s">
        <v>347</v>
      </c>
      <c r="D2143" t="s">
        <v>15</v>
      </c>
      <c r="F2143" t="s">
        <v>29</v>
      </c>
      <c r="G2143">
        <v>5.41</v>
      </c>
      <c r="H2143">
        <v>240</v>
      </c>
      <c r="I2143">
        <f t="shared" si="1148"/>
        <v>1298.4000000000001</v>
      </c>
      <c r="J2143" t="s">
        <v>163</v>
      </c>
      <c r="K2143">
        <v>210</v>
      </c>
      <c r="M2143">
        <f t="shared" si="1146"/>
        <v>1136.1000000000001</v>
      </c>
      <c r="N2143">
        <f t="shared" si="1147"/>
        <v>162.29999999999995</v>
      </c>
    </row>
    <row r="2144" spans="1:14" x14ac:dyDescent="0.25">
      <c r="A2144">
        <v>255</v>
      </c>
      <c r="B2144" s="1">
        <v>44012</v>
      </c>
      <c r="C2144" t="s">
        <v>347</v>
      </c>
      <c r="D2144" t="s">
        <v>44</v>
      </c>
      <c r="F2144" t="s">
        <v>387</v>
      </c>
      <c r="G2144">
        <v>1</v>
      </c>
      <c r="H2144">
        <v>35</v>
      </c>
      <c r="I2144">
        <f t="shared" si="1148"/>
        <v>35</v>
      </c>
      <c r="J2144" t="s">
        <v>198</v>
      </c>
      <c r="K2144">
        <v>20</v>
      </c>
      <c r="M2144">
        <f t="shared" si="1146"/>
        <v>20</v>
      </c>
      <c r="N2144">
        <f t="shared" si="1147"/>
        <v>15</v>
      </c>
    </row>
    <row r="2145" spans="1:14" x14ac:dyDescent="0.25">
      <c r="A2145">
        <v>256</v>
      </c>
      <c r="B2145" s="1">
        <v>44012</v>
      </c>
      <c r="C2145" t="s">
        <v>347</v>
      </c>
      <c r="D2145" t="s">
        <v>15</v>
      </c>
      <c r="F2145" t="s">
        <v>20</v>
      </c>
      <c r="G2145">
        <f>3/5</f>
        <v>0.6</v>
      </c>
      <c r="H2145">
        <v>250</v>
      </c>
      <c r="I2145">
        <f t="shared" si="1148"/>
        <v>150</v>
      </c>
      <c r="J2145" t="s">
        <v>163</v>
      </c>
      <c r="K2145">
        <v>230</v>
      </c>
      <c r="M2145">
        <f t="shared" si="1146"/>
        <v>138</v>
      </c>
      <c r="N2145">
        <f t="shared" si="1147"/>
        <v>12</v>
      </c>
    </row>
    <row r="2146" spans="1:14" x14ac:dyDescent="0.25">
      <c r="A2146">
        <v>257</v>
      </c>
      <c r="B2146" s="1">
        <v>44012</v>
      </c>
      <c r="C2146" t="s">
        <v>347</v>
      </c>
      <c r="D2146" t="s">
        <v>70</v>
      </c>
      <c r="F2146" t="s">
        <v>227</v>
      </c>
      <c r="G2146">
        <v>1</v>
      </c>
      <c r="H2146">
        <v>1650</v>
      </c>
      <c r="I2146">
        <f t="shared" si="1148"/>
        <v>1650</v>
      </c>
      <c r="J2146" t="s">
        <v>167</v>
      </c>
      <c r="K2146">
        <v>1440</v>
      </c>
      <c r="M2146">
        <f t="shared" si="1146"/>
        <v>1440</v>
      </c>
      <c r="N2146">
        <f t="shared" si="1147"/>
        <v>210</v>
      </c>
    </row>
    <row r="2147" spans="1:14" x14ac:dyDescent="0.25">
      <c r="A2147">
        <v>258</v>
      </c>
      <c r="B2147" s="1">
        <v>44012</v>
      </c>
      <c r="C2147" t="s">
        <v>347</v>
      </c>
      <c r="D2147" t="s">
        <v>55</v>
      </c>
      <c r="F2147" t="s">
        <v>108</v>
      </c>
      <c r="G2147">
        <v>1</v>
      </c>
      <c r="H2147">
        <v>300</v>
      </c>
      <c r="I2147">
        <f t="shared" si="1148"/>
        <v>300</v>
      </c>
      <c r="J2147" t="s">
        <v>167</v>
      </c>
      <c r="K2147">
        <v>268</v>
      </c>
      <c r="M2147">
        <f t="shared" si="1146"/>
        <v>268</v>
      </c>
      <c r="N2147">
        <f t="shared" si="1147"/>
        <v>32</v>
      </c>
    </row>
    <row r="2148" spans="1:14" x14ac:dyDescent="0.25">
      <c r="A2148">
        <v>259</v>
      </c>
      <c r="B2148" s="1">
        <v>44012</v>
      </c>
      <c r="C2148" t="s">
        <v>347</v>
      </c>
      <c r="D2148" t="s">
        <v>56</v>
      </c>
      <c r="F2148" t="s">
        <v>267</v>
      </c>
      <c r="G2148">
        <v>1</v>
      </c>
      <c r="H2148">
        <v>170</v>
      </c>
      <c r="I2148">
        <f t="shared" si="1148"/>
        <v>170</v>
      </c>
      <c r="J2148" t="s">
        <v>163</v>
      </c>
      <c r="K2148">
        <v>123</v>
      </c>
      <c r="M2148">
        <f t="shared" si="1146"/>
        <v>123</v>
      </c>
      <c r="N2148">
        <f t="shared" si="1147"/>
        <v>47</v>
      </c>
    </row>
    <row r="2149" spans="1:14" x14ac:dyDescent="0.25">
      <c r="A2149">
        <v>260</v>
      </c>
      <c r="B2149" s="1">
        <v>44012</v>
      </c>
      <c r="C2149" t="s">
        <v>347</v>
      </c>
      <c r="D2149" t="s">
        <v>15</v>
      </c>
      <c r="F2149" t="s">
        <v>388</v>
      </c>
      <c r="G2149">
        <v>5</v>
      </c>
      <c r="H2149">
        <v>240</v>
      </c>
      <c r="I2149">
        <f t="shared" si="1148"/>
        <v>1200</v>
      </c>
      <c r="J2149" t="s">
        <v>163</v>
      </c>
      <c r="K2149">
        <v>205</v>
      </c>
      <c r="M2149">
        <f t="shared" si="1146"/>
        <v>1025</v>
      </c>
      <c r="N2149">
        <f t="shared" si="1147"/>
        <v>175</v>
      </c>
    </row>
    <row r="2150" spans="1:14" x14ac:dyDescent="0.25">
      <c r="A2150">
        <v>261</v>
      </c>
      <c r="B2150" s="1">
        <v>44012</v>
      </c>
      <c r="C2150" t="s">
        <v>347</v>
      </c>
      <c r="D2150" t="s">
        <v>15</v>
      </c>
      <c r="F2150" t="s">
        <v>343</v>
      </c>
      <c r="G2150">
        <v>10</v>
      </c>
      <c r="H2150">
        <v>280</v>
      </c>
      <c r="I2150">
        <f t="shared" si="1148"/>
        <v>2800</v>
      </c>
      <c r="J2150" t="s">
        <v>167</v>
      </c>
      <c r="K2150">
        <v>219</v>
      </c>
      <c r="M2150">
        <f t="shared" si="1146"/>
        <v>2190</v>
      </c>
      <c r="N2150">
        <f t="shared" si="1147"/>
        <v>610</v>
      </c>
    </row>
    <row r="2151" spans="1:14" x14ac:dyDescent="0.25">
      <c r="A2151">
        <v>262</v>
      </c>
      <c r="B2151" s="1">
        <v>44012</v>
      </c>
      <c r="C2151" t="s">
        <v>347</v>
      </c>
      <c r="D2151" t="s">
        <v>56</v>
      </c>
      <c r="F2151" t="s">
        <v>267</v>
      </c>
      <c r="G2151">
        <v>3</v>
      </c>
      <c r="H2151">
        <v>170</v>
      </c>
      <c r="I2151">
        <f t="shared" si="1148"/>
        <v>510</v>
      </c>
      <c r="J2151" t="s">
        <v>163</v>
      </c>
      <c r="K2151">
        <v>123</v>
      </c>
      <c r="M2151">
        <f t="shared" si="1146"/>
        <v>369</v>
      </c>
      <c r="N2151">
        <f t="shared" si="1147"/>
        <v>141</v>
      </c>
    </row>
    <row r="2152" spans="1:14" x14ac:dyDescent="0.25">
      <c r="A2152">
        <v>263</v>
      </c>
      <c r="B2152" s="1">
        <v>44012</v>
      </c>
      <c r="C2152" t="s">
        <v>347</v>
      </c>
      <c r="D2152" t="s">
        <v>44</v>
      </c>
      <c r="F2152" t="s">
        <v>384</v>
      </c>
      <c r="G2152">
        <v>2</v>
      </c>
      <c r="H2152">
        <v>35</v>
      </c>
      <c r="I2152">
        <f t="shared" si="1148"/>
        <v>70</v>
      </c>
      <c r="J2152" t="s">
        <v>198</v>
      </c>
      <c r="K2152">
        <v>29</v>
      </c>
      <c r="M2152">
        <f t="shared" si="1146"/>
        <v>58</v>
      </c>
      <c r="N2152">
        <f t="shared" si="1147"/>
        <v>12</v>
      </c>
    </row>
    <row r="2153" spans="1:14" x14ac:dyDescent="0.25">
      <c r="A2153">
        <v>264</v>
      </c>
      <c r="B2153" s="1">
        <v>44012</v>
      </c>
      <c r="C2153" t="s">
        <v>347</v>
      </c>
      <c r="D2153" t="s">
        <v>25</v>
      </c>
      <c r="F2153" t="s">
        <v>60</v>
      </c>
      <c r="G2153">
        <v>1</v>
      </c>
      <c r="H2153">
        <v>60</v>
      </c>
      <c r="I2153">
        <f t="shared" si="1148"/>
        <v>60</v>
      </c>
      <c r="J2153" t="s">
        <v>165</v>
      </c>
      <c r="K2153">
        <v>33</v>
      </c>
      <c r="M2153">
        <f t="shared" si="1146"/>
        <v>33</v>
      </c>
      <c r="N2153">
        <f t="shared" si="1147"/>
        <v>27</v>
      </c>
    </row>
    <row r="2154" spans="1:14" x14ac:dyDescent="0.25">
      <c r="A2154">
        <v>265</v>
      </c>
      <c r="B2154" s="1">
        <v>44012</v>
      </c>
      <c r="C2154" t="s">
        <v>347</v>
      </c>
      <c r="D2154" t="s">
        <v>15</v>
      </c>
      <c r="F2154" t="s">
        <v>388</v>
      </c>
      <c r="G2154">
        <v>17</v>
      </c>
      <c r="H2154">
        <v>240</v>
      </c>
      <c r="I2154">
        <f t="shared" si="1148"/>
        <v>4080</v>
      </c>
      <c r="J2154" t="s">
        <v>163</v>
      </c>
      <c r="K2154">
        <v>205</v>
      </c>
      <c r="M2154">
        <f t="shared" si="1146"/>
        <v>3485</v>
      </c>
      <c r="N2154">
        <f t="shared" si="1147"/>
        <v>595</v>
      </c>
    </row>
    <row r="2155" spans="1:14" x14ac:dyDescent="0.25">
      <c r="A2155">
        <v>266</v>
      </c>
      <c r="B2155" s="1">
        <v>44012</v>
      </c>
      <c r="C2155" t="s">
        <v>347</v>
      </c>
      <c r="D2155" t="s">
        <v>25</v>
      </c>
      <c r="F2155" t="s">
        <v>145</v>
      </c>
      <c r="G2155">
        <v>2</v>
      </c>
      <c r="H2155">
        <v>100</v>
      </c>
      <c r="I2155">
        <f t="shared" si="1148"/>
        <v>200</v>
      </c>
      <c r="J2155" t="s">
        <v>163</v>
      </c>
      <c r="K2155">
        <v>70</v>
      </c>
      <c r="M2155">
        <f t="shared" si="1146"/>
        <v>140</v>
      </c>
      <c r="N2155">
        <f t="shared" si="1147"/>
        <v>60</v>
      </c>
    </row>
    <row r="2156" spans="1:14" x14ac:dyDescent="0.25">
      <c r="A2156">
        <v>267</v>
      </c>
      <c r="B2156" s="1">
        <v>44012</v>
      </c>
      <c r="C2156" t="s">
        <v>347</v>
      </c>
      <c r="D2156" t="s">
        <v>26</v>
      </c>
      <c r="F2156" t="s">
        <v>47</v>
      </c>
      <c r="G2156">
        <v>5.71</v>
      </c>
      <c r="H2156">
        <v>350</v>
      </c>
      <c r="I2156">
        <f t="shared" si="1148"/>
        <v>1998.5</v>
      </c>
      <c r="J2156" t="s">
        <v>99</v>
      </c>
      <c r="K2156">
        <v>261</v>
      </c>
      <c r="M2156">
        <f t="shared" si="1146"/>
        <v>1490.31</v>
      </c>
      <c r="N2156">
        <f t="shared" si="1147"/>
        <v>508.19000000000005</v>
      </c>
    </row>
    <row r="2157" spans="1:14" x14ac:dyDescent="0.25">
      <c r="A2157">
        <v>1</v>
      </c>
      <c r="B2157" s="1">
        <v>44013</v>
      </c>
      <c r="C2157" t="s">
        <v>348</v>
      </c>
      <c r="D2157" t="s">
        <v>68</v>
      </c>
      <c r="F2157" t="s">
        <v>389</v>
      </c>
      <c r="G2157">
        <v>1</v>
      </c>
      <c r="H2157">
        <v>100</v>
      </c>
      <c r="I2157">
        <f t="shared" si="1148"/>
        <v>100</v>
      </c>
      <c r="J2157" t="s">
        <v>395</v>
      </c>
      <c r="M2157" t="str">
        <f t="shared" si="1146"/>
        <v/>
      </c>
      <c r="N2157" t="str">
        <f t="shared" si="1147"/>
        <v/>
      </c>
    </row>
    <row r="2158" spans="1:14" x14ac:dyDescent="0.25">
      <c r="A2158">
        <v>2</v>
      </c>
      <c r="B2158" s="1">
        <v>44013</v>
      </c>
      <c r="C2158" t="s">
        <v>348</v>
      </c>
      <c r="D2158" t="s">
        <v>56</v>
      </c>
      <c r="F2158" t="s">
        <v>267</v>
      </c>
      <c r="G2158">
        <v>4</v>
      </c>
      <c r="H2158">
        <v>170</v>
      </c>
      <c r="I2158">
        <f t="shared" si="1148"/>
        <v>680</v>
      </c>
      <c r="J2158" t="s">
        <v>163</v>
      </c>
      <c r="K2158">
        <v>123</v>
      </c>
      <c r="M2158">
        <f t="shared" si="1146"/>
        <v>492</v>
      </c>
      <c r="N2158">
        <f t="shared" si="1147"/>
        <v>188</v>
      </c>
    </row>
    <row r="2159" spans="1:14" x14ac:dyDescent="0.25">
      <c r="A2159">
        <v>3</v>
      </c>
      <c r="B2159" s="1">
        <v>44013</v>
      </c>
      <c r="C2159" t="s">
        <v>348</v>
      </c>
      <c r="D2159" t="s">
        <v>25</v>
      </c>
      <c r="F2159" t="s">
        <v>218</v>
      </c>
      <c r="G2159">
        <v>3</v>
      </c>
      <c r="H2159">
        <v>100</v>
      </c>
      <c r="I2159">
        <f t="shared" si="1148"/>
        <v>300</v>
      </c>
      <c r="J2159" t="s">
        <v>163</v>
      </c>
      <c r="K2159">
        <v>70</v>
      </c>
      <c r="M2159">
        <f t="shared" si="1146"/>
        <v>210</v>
      </c>
      <c r="N2159">
        <f t="shared" si="1147"/>
        <v>90</v>
      </c>
    </row>
    <row r="2160" spans="1:14" x14ac:dyDescent="0.25">
      <c r="A2160">
        <v>4</v>
      </c>
      <c r="B2160" s="1">
        <v>44013</v>
      </c>
      <c r="C2160" t="s">
        <v>348</v>
      </c>
      <c r="D2160" t="s">
        <v>15</v>
      </c>
      <c r="F2160" t="s">
        <v>359</v>
      </c>
      <c r="G2160">
        <v>2.5</v>
      </c>
      <c r="H2160">
        <v>280</v>
      </c>
      <c r="I2160">
        <f t="shared" si="1148"/>
        <v>700</v>
      </c>
      <c r="J2160" t="s">
        <v>167</v>
      </c>
      <c r="K2160">
        <v>219</v>
      </c>
      <c r="M2160">
        <f t="shared" si="1146"/>
        <v>547.5</v>
      </c>
      <c r="N2160">
        <f t="shared" si="1147"/>
        <v>152.5</v>
      </c>
    </row>
    <row r="2161" spans="1:14" x14ac:dyDescent="0.25">
      <c r="A2161">
        <v>5</v>
      </c>
      <c r="B2161" s="1">
        <v>44013</v>
      </c>
      <c r="C2161" t="s">
        <v>348</v>
      </c>
      <c r="D2161" t="s">
        <v>15</v>
      </c>
      <c r="F2161" t="s">
        <v>29</v>
      </c>
      <c r="G2161">
        <v>2</v>
      </c>
      <c r="H2161">
        <v>240</v>
      </c>
      <c r="I2161">
        <f t="shared" si="1148"/>
        <v>480</v>
      </c>
      <c r="J2161" t="s">
        <v>163</v>
      </c>
      <c r="K2161">
        <v>210</v>
      </c>
      <c r="M2161">
        <f t="shared" si="1146"/>
        <v>420</v>
      </c>
      <c r="N2161">
        <f t="shared" si="1147"/>
        <v>60</v>
      </c>
    </row>
    <row r="2162" spans="1:14" x14ac:dyDescent="0.25">
      <c r="A2162">
        <v>6</v>
      </c>
      <c r="B2162" s="1">
        <v>44013</v>
      </c>
      <c r="C2162" t="s">
        <v>348</v>
      </c>
      <c r="D2162" t="s">
        <v>85</v>
      </c>
      <c r="F2162" t="s">
        <v>216</v>
      </c>
      <c r="G2162">
        <v>1</v>
      </c>
      <c r="H2162">
        <v>1150</v>
      </c>
      <c r="I2162">
        <f t="shared" si="1148"/>
        <v>1150</v>
      </c>
      <c r="J2162" t="s">
        <v>167</v>
      </c>
      <c r="K2162">
        <v>480</v>
      </c>
      <c r="M2162">
        <f t="shared" si="1146"/>
        <v>480</v>
      </c>
      <c r="N2162">
        <f t="shared" si="1147"/>
        <v>670</v>
      </c>
    </row>
    <row r="2163" spans="1:14" x14ac:dyDescent="0.25">
      <c r="A2163">
        <v>7</v>
      </c>
      <c r="B2163" s="1">
        <v>44013</v>
      </c>
      <c r="C2163" t="s">
        <v>348</v>
      </c>
      <c r="D2163" t="s">
        <v>85</v>
      </c>
      <c r="F2163" t="s">
        <v>152</v>
      </c>
      <c r="G2163">
        <v>1</v>
      </c>
      <c r="H2163">
        <v>85</v>
      </c>
      <c r="I2163">
        <f t="shared" si="1148"/>
        <v>85</v>
      </c>
      <c r="J2163" t="s">
        <v>163</v>
      </c>
      <c r="K2163">
        <v>70</v>
      </c>
      <c r="M2163">
        <f t="shared" si="1146"/>
        <v>70</v>
      </c>
      <c r="N2163">
        <f t="shared" si="1147"/>
        <v>15</v>
      </c>
    </row>
    <row r="2164" spans="1:14" x14ac:dyDescent="0.25">
      <c r="A2164">
        <v>8</v>
      </c>
      <c r="B2164" s="1">
        <v>44014</v>
      </c>
      <c r="C2164" t="s">
        <v>348</v>
      </c>
      <c r="D2164" t="s">
        <v>56</v>
      </c>
      <c r="F2164" t="s">
        <v>267</v>
      </c>
      <c r="G2164">
        <v>2</v>
      </c>
      <c r="H2164">
        <v>170</v>
      </c>
      <c r="I2164">
        <f t="shared" si="1148"/>
        <v>340</v>
      </c>
      <c r="J2164" t="s">
        <v>163</v>
      </c>
      <c r="K2164">
        <v>123</v>
      </c>
      <c r="M2164">
        <f t="shared" si="1146"/>
        <v>246</v>
      </c>
      <c r="N2164">
        <f t="shared" si="1147"/>
        <v>94</v>
      </c>
    </row>
    <row r="2165" spans="1:14" x14ac:dyDescent="0.25">
      <c r="A2165">
        <v>9</v>
      </c>
      <c r="B2165" s="1">
        <v>44014</v>
      </c>
      <c r="C2165" t="s">
        <v>348</v>
      </c>
      <c r="D2165" t="s">
        <v>15</v>
      </c>
      <c r="F2165" t="s">
        <v>312</v>
      </c>
      <c r="G2165">
        <v>15.55</v>
      </c>
      <c r="H2165">
        <v>300</v>
      </c>
      <c r="I2165">
        <f t="shared" si="1148"/>
        <v>4665</v>
      </c>
      <c r="J2165" t="s">
        <v>13</v>
      </c>
      <c r="K2165">
        <v>280</v>
      </c>
      <c r="M2165">
        <f t="shared" si="1146"/>
        <v>4354</v>
      </c>
      <c r="N2165">
        <f t="shared" si="1147"/>
        <v>311</v>
      </c>
    </row>
    <row r="2166" spans="1:14" x14ac:dyDescent="0.25">
      <c r="A2166">
        <v>10</v>
      </c>
      <c r="B2166" s="1">
        <v>44014</v>
      </c>
      <c r="C2166" t="s">
        <v>348</v>
      </c>
      <c r="D2166" t="s">
        <v>25</v>
      </c>
      <c r="F2166" t="s">
        <v>148</v>
      </c>
      <c r="G2166">
        <v>3</v>
      </c>
      <c r="H2166">
        <v>60</v>
      </c>
      <c r="I2166">
        <f t="shared" si="1148"/>
        <v>180</v>
      </c>
      <c r="J2166" t="s">
        <v>165</v>
      </c>
      <c r="K2166">
        <v>33</v>
      </c>
      <c r="M2166">
        <f t="shared" si="1146"/>
        <v>99</v>
      </c>
      <c r="N2166">
        <f t="shared" si="1147"/>
        <v>81</v>
      </c>
    </row>
    <row r="2167" spans="1:14" x14ac:dyDescent="0.25">
      <c r="A2167">
        <v>11</v>
      </c>
      <c r="B2167" s="1">
        <v>44014</v>
      </c>
      <c r="C2167" t="s">
        <v>348</v>
      </c>
      <c r="D2167" t="s">
        <v>15</v>
      </c>
      <c r="F2167" t="s">
        <v>29</v>
      </c>
      <c r="G2167">
        <v>25</v>
      </c>
      <c r="H2167">
        <v>240</v>
      </c>
      <c r="I2167">
        <f t="shared" si="1148"/>
        <v>6000</v>
      </c>
      <c r="J2167" t="s">
        <v>163</v>
      </c>
      <c r="K2167">
        <v>210</v>
      </c>
      <c r="M2167">
        <f t="shared" si="1146"/>
        <v>5250</v>
      </c>
      <c r="N2167">
        <f t="shared" si="1147"/>
        <v>750</v>
      </c>
    </row>
    <row r="2168" spans="1:14" x14ac:dyDescent="0.25">
      <c r="A2168">
        <v>12</v>
      </c>
      <c r="B2168" s="1">
        <v>44014</v>
      </c>
      <c r="C2168" t="s">
        <v>348</v>
      </c>
      <c r="D2168" t="s">
        <v>56</v>
      </c>
      <c r="F2168" t="s">
        <v>267</v>
      </c>
      <c r="G2168">
        <v>12</v>
      </c>
      <c r="H2168">
        <v>170</v>
      </c>
      <c r="I2168">
        <f t="shared" si="1148"/>
        <v>2040</v>
      </c>
      <c r="J2168" t="s">
        <v>163</v>
      </c>
      <c r="K2168">
        <v>123</v>
      </c>
      <c r="M2168">
        <f t="shared" si="1146"/>
        <v>1476</v>
      </c>
      <c r="N2168">
        <f t="shared" si="1147"/>
        <v>564</v>
      </c>
    </row>
    <row r="2169" spans="1:14" x14ac:dyDescent="0.25">
      <c r="A2169">
        <v>13</v>
      </c>
      <c r="B2169" s="1">
        <v>44014</v>
      </c>
      <c r="C2169" t="s">
        <v>348</v>
      </c>
      <c r="D2169" t="s">
        <v>78</v>
      </c>
      <c r="F2169" t="s">
        <v>324</v>
      </c>
      <c r="G2169">
        <v>1</v>
      </c>
      <c r="H2169">
        <v>900</v>
      </c>
      <c r="I2169">
        <f t="shared" si="1148"/>
        <v>900</v>
      </c>
      <c r="J2169" t="s">
        <v>198</v>
      </c>
      <c r="M2169" t="str">
        <f t="shared" si="1146"/>
        <v/>
      </c>
      <c r="N2169" t="str">
        <f t="shared" si="1147"/>
        <v/>
      </c>
    </row>
    <row r="2170" spans="1:14" x14ac:dyDescent="0.25">
      <c r="A2170">
        <v>14</v>
      </c>
      <c r="B2170" s="1">
        <v>44014</v>
      </c>
      <c r="C2170" t="s">
        <v>348</v>
      </c>
      <c r="D2170" t="s">
        <v>55</v>
      </c>
      <c r="F2170" t="s">
        <v>22</v>
      </c>
      <c r="G2170">
        <v>3.5</v>
      </c>
      <c r="H2170">
        <v>300</v>
      </c>
      <c r="I2170">
        <f t="shared" si="1148"/>
        <v>1050</v>
      </c>
      <c r="J2170" t="s">
        <v>167</v>
      </c>
      <c r="K2170">
        <v>268</v>
      </c>
      <c r="M2170">
        <f t="shared" si="1146"/>
        <v>938</v>
      </c>
      <c r="N2170">
        <f t="shared" si="1147"/>
        <v>112</v>
      </c>
    </row>
    <row r="2171" spans="1:14" x14ac:dyDescent="0.25">
      <c r="A2171">
        <v>15</v>
      </c>
      <c r="B2171" s="1">
        <v>44014</v>
      </c>
      <c r="C2171" t="s">
        <v>348</v>
      </c>
      <c r="D2171" t="s">
        <v>25</v>
      </c>
      <c r="F2171" t="s">
        <v>72</v>
      </c>
      <c r="G2171">
        <v>1</v>
      </c>
      <c r="H2171">
        <v>60</v>
      </c>
      <c r="I2171">
        <f t="shared" si="1148"/>
        <v>60</v>
      </c>
      <c r="J2171" t="s">
        <v>165</v>
      </c>
      <c r="K2171">
        <v>33</v>
      </c>
      <c r="M2171">
        <f t="shared" si="1146"/>
        <v>33</v>
      </c>
      <c r="N2171">
        <f t="shared" si="1147"/>
        <v>27</v>
      </c>
    </row>
    <row r="2172" spans="1:14" x14ac:dyDescent="0.25">
      <c r="A2172">
        <v>16</v>
      </c>
      <c r="B2172" s="1">
        <v>44014</v>
      </c>
      <c r="C2172" t="s">
        <v>348</v>
      </c>
      <c r="D2172" t="s">
        <v>78</v>
      </c>
      <c r="F2172" t="s">
        <v>207</v>
      </c>
      <c r="G2172">
        <v>1</v>
      </c>
      <c r="H2172">
        <v>1000</v>
      </c>
      <c r="I2172">
        <f t="shared" si="1148"/>
        <v>1000</v>
      </c>
      <c r="J2172" t="s">
        <v>198</v>
      </c>
      <c r="K2172">
        <v>750</v>
      </c>
      <c r="M2172">
        <f t="shared" si="1146"/>
        <v>750</v>
      </c>
      <c r="N2172">
        <f t="shared" si="1147"/>
        <v>250</v>
      </c>
    </row>
    <row r="2173" spans="1:14" x14ac:dyDescent="0.25">
      <c r="A2173">
        <v>17</v>
      </c>
      <c r="B2173" s="1">
        <v>44014</v>
      </c>
      <c r="C2173" t="s">
        <v>348</v>
      </c>
      <c r="D2173" t="s">
        <v>78</v>
      </c>
      <c r="F2173" t="s">
        <v>124</v>
      </c>
      <c r="G2173">
        <v>1</v>
      </c>
      <c r="H2173">
        <v>90</v>
      </c>
      <c r="I2173">
        <f t="shared" si="1148"/>
        <v>90</v>
      </c>
      <c r="J2173" t="s">
        <v>198</v>
      </c>
      <c r="M2173" t="str">
        <f t="shared" si="1146"/>
        <v/>
      </c>
      <c r="N2173" t="str">
        <f t="shared" si="1147"/>
        <v/>
      </c>
    </row>
    <row r="2174" spans="1:14" x14ac:dyDescent="0.25">
      <c r="A2174">
        <v>18</v>
      </c>
      <c r="B2174" s="1">
        <v>44014</v>
      </c>
      <c r="C2174" t="s">
        <v>348</v>
      </c>
      <c r="D2174" t="s">
        <v>26</v>
      </c>
      <c r="F2174" t="s">
        <v>47</v>
      </c>
      <c r="G2174">
        <f>9/4*1.44</f>
        <v>3.2399999999999998</v>
      </c>
      <c r="H2174">
        <v>350</v>
      </c>
      <c r="I2174">
        <f t="shared" si="1148"/>
        <v>1134</v>
      </c>
      <c r="J2174" t="s">
        <v>99</v>
      </c>
      <c r="K2174">
        <v>261</v>
      </c>
      <c r="M2174">
        <f t="shared" si="1146"/>
        <v>845.64</v>
      </c>
      <c r="N2174">
        <f t="shared" si="1147"/>
        <v>288.36</v>
      </c>
    </row>
    <row r="2175" spans="1:14" x14ac:dyDescent="0.25">
      <c r="A2175">
        <v>19</v>
      </c>
      <c r="B2175" s="1">
        <v>44014</v>
      </c>
      <c r="C2175" t="s">
        <v>348</v>
      </c>
      <c r="D2175" t="s">
        <v>15</v>
      </c>
      <c r="F2175" t="s">
        <v>31</v>
      </c>
      <c r="G2175">
        <v>1</v>
      </c>
      <c r="H2175">
        <v>280</v>
      </c>
      <c r="I2175">
        <f t="shared" si="1148"/>
        <v>280</v>
      </c>
      <c r="J2175" t="s">
        <v>163</v>
      </c>
      <c r="K2175">
        <v>247</v>
      </c>
      <c r="M2175">
        <f t="shared" si="1146"/>
        <v>247</v>
      </c>
      <c r="N2175">
        <f t="shared" si="1147"/>
        <v>33</v>
      </c>
    </row>
    <row r="2176" spans="1:14" x14ac:dyDescent="0.25">
      <c r="A2176">
        <v>20</v>
      </c>
      <c r="B2176" s="1">
        <v>44014</v>
      </c>
      <c r="C2176" t="s">
        <v>348</v>
      </c>
      <c r="D2176" t="s">
        <v>56</v>
      </c>
      <c r="F2176" t="s">
        <v>38</v>
      </c>
      <c r="G2176">
        <v>1</v>
      </c>
      <c r="H2176">
        <v>100</v>
      </c>
      <c r="I2176">
        <f t="shared" si="1148"/>
        <v>100</v>
      </c>
      <c r="J2176" t="s">
        <v>164</v>
      </c>
      <c r="K2176">
        <v>70</v>
      </c>
      <c r="M2176">
        <f t="shared" si="1146"/>
        <v>70</v>
      </c>
      <c r="N2176">
        <f t="shared" si="1147"/>
        <v>30</v>
      </c>
    </row>
    <row r="2177" spans="1:14" x14ac:dyDescent="0.25">
      <c r="A2177">
        <v>21</v>
      </c>
      <c r="B2177" s="1">
        <v>44014</v>
      </c>
      <c r="C2177" t="s">
        <v>348</v>
      </c>
      <c r="D2177" t="s">
        <v>56</v>
      </c>
      <c r="F2177" t="s">
        <v>267</v>
      </c>
      <c r="G2177">
        <v>1</v>
      </c>
      <c r="H2177">
        <v>170</v>
      </c>
      <c r="I2177">
        <f t="shared" si="1148"/>
        <v>170</v>
      </c>
      <c r="J2177" t="s">
        <v>163</v>
      </c>
      <c r="K2177">
        <v>123</v>
      </c>
      <c r="M2177">
        <f t="shared" si="1146"/>
        <v>123</v>
      </c>
      <c r="N2177">
        <f t="shared" si="1147"/>
        <v>47</v>
      </c>
    </row>
    <row r="2178" spans="1:14" x14ac:dyDescent="0.25">
      <c r="A2178">
        <v>22</v>
      </c>
      <c r="B2178" s="1">
        <v>44014</v>
      </c>
      <c r="C2178" t="s">
        <v>348</v>
      </c>
      <c r="D2178" t="s">
        <v>15</v>
      </c>
      <c r="F2178" t="s">
        <v>359</v>
      </c>
      <c r="G2178">
        <v>3</v>
      </c>
      <c r="H2178">
        <v>280</v>
      </c>
      <c r="I2178">
        <f t="shared" si="1148"/>
        <v>840</v>
      </c>
      <c r="J2178" t="s">
        <v>167</v>
      </c>
      <c r="K2178">
        <v>219</v>
      </c>
      <c r="M2178">
        <f t="shared" si="1146"/>
        <v>657</v>
      </c>
      <c r="N2178">
        <f t="shared" si="1147"/>
        <v>183</v>
      </c>
    </row>
    <row r="2179" spans="1:14" x14ac:dyDescent="0.25">
      <c r="A2179">
        <v>23</v>
      </c>
      <c r="B2179" s="1">
        <v>44014</v>
      </c>
      <c r="C2179" t="s">
        <v>348</v>
      </c>
      <c r="D2179" t="s">
        <v>44</v>
      </c>
      <c r="F2179" t="s">
        <v>138</v>
      </c>
      <c r="G2179">
        <v>1</v>
      </c>
      <c r="H2179">
        <v>35</v>
      </c>
      <c r="I2179">
        <f t="shared" si="1148"/>
        <v>35</v>
      </c>
      <c r="J2179" t="s">
        <v>198</v>
      </c>
      <c r="K2179">
        <v>29</v>
      </c>
      <c r="M2179">
        <f t="shared" si="1146"/>
        <v>29</v>
      </c>
      <c r="N2179">
        <f t="shared" si="1147"/>
        <v>6</v>
      </c>
    </row>
    <row r="2180" spans="1:14" x14ac:dyDescent="0.25">
      <c r="A2180">
        <v>24</v>
      </c>
      <c r="B2180" s="1">
        <v>44014</v>
      </c>
      <c r="C2180" t="s">
        <v>348</v>
      </c>
      <c r="D2180" t="s">
        <v>25</v>
      </c>
      <c r="F2180" t="s">
        <v>383</v>
      </c>
      <c r="G2180">
        <v>1</v>
      </c>
      <c r="H2180">
        <v>60</v>
      </c>
      <c r="I2180">
        <f t="shared" si="1148"/>
        <v>60</v>
      </c>
      <c r="J2180" t="s">
        <v>165</v>
      </c>
      <c r="K2180">
        <v>33</v>
      </c>
      <c r="M2180">
        <f t="shared" si="1146"/>
        <v>33</v>
      </c>
      <c r="N2180">
        <f t="shared" si="1147"/>
        <v>27</v>
      </c>
    </row>
    <row r="2181" spans="1:14" x14ac:dyDescent="0.25">
      <c r="A2181">
        <v>25</v>
      </c>
      <c r="B2181" s="1">
        <v>44014</v>
      </c>
      <c r="C2181" t="s">
        <v>348</v>
      </c>
      <c r="D2181" t="s">
        <v>78</v>
      </c>
      <c r="F2181" t="s">
        <v>79</v>
      </c>
      <c r="G2181">
        <v>1</v>
      </c>
      <c r="H2181">
        <v>1550</v>
      </c>
      <c r="I2181">
        <f t="shared" si="1148"/>
        <v>1550</v>
      </c>
      <c r="J2181" t="s">
        <v>167</v>
      </c>
      <c r="K2181">
        <v>1330</v>
      </c>
      <c r="M2181">
        <f t="shared" ref="M2181:M2244" si="1149">+IF(K2181=0,(""),(K2181*G2181))</f>
        <v>1330</v>
      </c>
      <c r="N2181">
        <f t="shared" ref="N2181:N2244" si="1150">+IF(K2181=0,(""),(I2181-M2181))</f>
        <v>220</v>
      </c>
    </row>
    <row r="2182" spans="1:14" x14ac:dyDescent="0.25">
      <c r="A2182">
        <v>26</v>
      </c>
      <c r="B2182" s="1">
        <v>44014</v>
      </c>
      <c r="C2182" t="s">
        <v>348</v>
      </c>
      <c r="D2182" t="s">
        <v>26</v>
      </c>
      <c r="F2182" t="s">
        <v>144</v>
      </c>
      <c r="G2182">
        <v>4</v>
      </c>
      <c r="H2182">
        <v>425</v>
      </c>
      <c r="I2182">
        <f t="shared" si="1148"/>
        <v>1700</v>
      </c>
      <c r="J2182" t="s">
        <v>99</v>
      </c>
      <c r="K2182">
        <v>360</v>
      </c>
      <c r="M2182">
        <f t="shared" si="1149"/>
        <v>1440</v>
      </c>
      <c r="N2182">
        <f t="shared" si="1150"/>
        <v>260</v>
      </c>
    </row>
    <row r="2183" spans="1:14" x14ac:dyDescent="0.25">
      <c r="A2183">
        <v>27</v>
      </c>
      <c r="B2183" s="1">
        <v>44014</v>
      </c>
      <c r="C2183" t="s">
        <v>348</v>
      </c>
      <c r="D2183" t="s">
        <v>55</v>
      </c>
      <c r="F2183" t="s">
        <v>149</v>
      </c>
      <c r="G2183">
        <v>4</v>
      </c>
      <c r="H2183">
        <v>300</v>
      </c>
      <c r="I2183">
        <f t="shared" si="1148"/>
        <v>1200</v>
      </c>
      <c r="J2183" t="s">
        <v>167</v>
      </c>
      <c r="K2183">
        <v>268</v>
      </c>
      <c r="M2183">
        <f t="shared" si="1149"/>
        <v>1072</v>
      </c>
      <c r="N2183">
        <f t="shared" si="1150"/>
        <v>128</v>
      </c>
    </row>
    <row r="2184" spans="1:14" x14ac:dyDescent="0.25">
      <c r="A2184">
        <v>28</v>
      </c>
      <c r="B2184" s="1">
        <v>44014</v>
      </c>
      <c r="C2184" t="s">
        <v>348</v>
      </c>
      <c r="D2184" t="s">
        <v>15</v>
      </c>
      <c r="F2184" t="s">
        <v>28</v>
      </c>
      <c r="G2184">
        <f>6/9</f>
        <v>0.66666666666666663</v>
      </c>
      <c r="H2184">
        <v>240</v>
      </c>
      <c r="I2184">
        <f t="shared" si="1148"/>
        <v>160</v>
      </c>
      <c r="J2184" t="s">
        <v>163</v>
      </c>
      <c r="K2184">
        <v>217</v>
      </c>
      <c r="M2184">
        <f t="shared" si="1149"/>
        <v>144.66666666666666</v>
      </c>
      <c r="N2184">
        <f t="shared" si="1150"/>
        <v>15.333333333333343</v>
      </c>
    </row>
    <row r="2185" spans="1:14" x14ac:dyDescent="0.25">
      <c r="A2185">
        <v>29</v>
      </c>
      <c r="B2185" s="1">
        <v>44015</v>
      </c>
      <c r="C2185" t="s">
        <v>348</v>
      </c>
      <c r="D2185" t="s">
        <v>25</v>
      </c>
      <c r="F2185" t="s">
        <v>203</v>
      </c>
      <c r="G2185">
        <v>2</v>
      </c>
      <c r="H2185">
        <v>100</v>
      </c>
      <c r="I2185">
        <f t="shared" si="1148"/>
        <v>200</v>
      </c>
      <c r="J2185" t="s">
        <v>163</v>
      </c>
      <c r="K2185">
        <v>70</v>
      </c>
      <c r="M2185">
        <f t="shared" si="1149"/>
        <v>140</v>
      </c>
      <c r="N2185">
        <f t="shared" si="1150"/>
        <v>60</v>
      </c>
    </row>
    <row r="2186" spans="1:14" x14ac:dyDescent="0.25">
      <c r="A2186">
        <v>30</v>
      </c>
      <c r="B2186" s="1">
        <v>44015</v>
      </c>
      <c r="C2186" t="s">
        <v>348</v>
      </c>
      <c r="D2186" t="s">
        <v>26</v>
      </c>
      <c r="F2186" t="s">
        <v>47</v>
      </c>
      <c r="G2186">
        <v>8.57</v>
      </c>
      <c r="H2186">
        <v>350</v>
      </c>
      <c r="I2186">
        <f t="shared" si="1148"/>
        <v>2999.5</v>
      </c>
      <c r="J2186" t="s">
        <v>99</v>
      </c>
      <c r="K2186">
        <v>261</v>
      </c>
      <c r="M2186">
        <f t="shared" si="1149"/>
        <v>2236.77</v>
      </c>
      <c r="N2186">
        <f t="shared" si="1150"/>
        <v>762.73</v>
      </c>
    </row>
    <row r="2187" spans="1:14" x14ac:dyDescent="0.25">
      <c r="A2187">
        <v>31</v>
      </c>
      <c r="B2187" s="1">
        <v>44015</v>
      </c>
      <c r="C2187" t="s">
        <v>348</v>
      </c>
      <c r="D2187" t="s">
        <v>15</v>
      </c>
      <c r="F2187" t="s">
        <v>33</v>
      </c>
      <c r="G2187">
        <v>1</v>
      </c>
      <c r="H2187">
        <v>280</v>
      </c>
      <c r="I2187">
        <f t="shared" si="1148"/>
        <v>280</v>
      </c>
      <c r="J2187" t="s">
        <v>163</v>
      </c>
      <c r="K2187">
        <v>230</v>
      </c>
      <c r="M2187">
        <f t="shared" si="1149"/>
        <v>230</v>
      </c>
      <c r="N2187">
        <f t="shared" si="1150"/>
        <v>50</v>
      </c>
    </row>
    <row r="2188" spans="1:14" x14ac:dyDescent="0.25">
      <c r="A2188">
        <v>32</v>
      </c>
      <c r="B2188" s="1">
        <v>44015</v>
      </c>
      <c r="C2188" t="s">
        <v>348</v>
      </c>
      <c r="D2188" t="s">
        <v>55</v>
      </c>
      <c r="F2188" t="s">
        <v>22</v>
      </c>
      <c r="G2188">
        <v>1.5</v>
      </c>
      <c r="H2188">
        <v>300</v>
      </c>
      <c r="I2188">
        <f t="shared" si="1148"/>
        <v>450</v>
      </c>
      <c r="J2188" t="s">
        <v>167</v>
      </c>
      <c r="K2188">
        <v>268</v>
      </c>
      <c r="M2188">
        <f t="shared" si="1149"/>
        <v>402</v>
      </c>
      <c r="N2188">
        <f t="shared" si="1150"/>
        <v>48</v>
      </c>
    </row>
    <row r="2189" spans="1:14" x14ac:dyDescent="0.25">
      <c r="A2189">
        <v>33</v>
      </c>
      <c r="B2189" s="1">
        <v>44016</v>
      </c>
      <c r="C2189" t="s">
        <v>348</v>
      </c>
      <c r="D2189" t="s">
        <v>15</v>
      </c>
      <c r="F2189" t="s">
        <v>29</v>
      </c>
      <c r="G2189">
        <v>6</v>
      </c>
      <c r="H2189">
        <v>240</v>
      </c>
      <c r="I2189">
        <f t="shared" si="1148"/>
        <v>1440</v>
      </c>
      <c r="J2189" t="s">
        <v>163</v>
      </c>
      <c r="K2189">
        <v>210</v>
      </c>
      <c r="M2189">
        <f t="shared" si="1149"/>
        <v>1260</v>
      </c>
      <c r="N2189">
        <f t="shared" si="1150"/>
        <v>180</v>
      </c>
    </row>
    <row r="2190" spans="1:14" x14ac:dyDescent="0.25">
      <c r="A2190">
        <v>34</v>
      </c>
      <c r="B2190" s="1">
        <v>44016</v>
      </c>
      <c r="C2190" t="s">
        <v>348</v>
      </c>
      <c r="D2190" t="s">
        <v>44</v>
      </c>
      <c r="F2190" t="s">
        <v>138</v>
      </c>
      <c r="G2190">
        <v>2</v>
      </c>
      <c r="H2190">
        <v>35</v>
      </c>
      <c r="I2190">
        <f t="shared" si="1148"/>
        <v>70</v>
      </c>
      <c r="J2190" t="s">
        <v>198</v>
      </c>
      <c r="K2190">
        <v>29</v>
      </c>
      <c r="M2190">
        <f t="shared" si="1149"/>
        <v>58</v>
      </c>
      <c r="N2190">
        <f t="shared" si="1150"/>
        <v>12</v>
      </c>
    </row>
    <row r="2191" spans="1:14" x14ac:dyDescent="0.25">
      <c r="A2191">
        <v>35</v>
      </c>
      <c r="B2191" s="1">
        <v>44016</v>
      </c>
      <c r="C2191" t="s">
        <v>348</v>
      </c>
      <c r="D2191" t="s">
        <v>15</v>
      </c>
      <c r="F2191" t="s">
        <v>29</v>
      </c>
      <c r="G2191">
        <v>6</v>
      </c>
      <c r="H2191">
        <v>240</v>
      </c>
      <c r="I2191">
        <f t="shared" si="1148"/>
        <v>1440</v>
      </c>
      <c r="J2191" t="s">
        <v>163</v>
      </c>
      <c r="K2191">
        <v>210</v>
      </c>
      <c r="M2191">
        <f t="shared" si="1149"/>
        <v>1260</v>
      </c>
      <c r="N2191">
        <f t="shared" si="1150"/>
        <v>180</v>
      </c>
    </row>
    <row r="2192" spans="1:14" x14ac:dyDescent="0.25">
      <c r="A2192">
        <v>36</v>
      </c>
      <c r="B2192" s="1">
        <v>44016</v>
      </c>
      <c r="C2192" t="s">
        <v>348</v>
      </c>
      <c r="D2192" t="s">
        <v>56</v>
      </c>
      <c r="F2192" t="s">
        <v>333</v>
      </c>
      <c r="G2192">
        <v>3</v>
      </c>
      <c r="H2192">
        <v>100</v>
      </c>
      <c r="I2192">
        <f t="shared" si="1148"/>
        <v>300</v>
      </c>
      <c r="J2192" t="s">
        <v>164</v>
      </c>
      <c r="K2192">
        <v>70</v>
      </c>
      <c r="M2192">
        <f t="shared" si="1149"/>
        <v>210</v>
      </c>
      <c r="N2192">
        <f t="shared" si="1150"/>
        <v>90</v>
      </c>
    </row>
    <row r="2193" spans="1:14" x14ac:dyDescent="0.25">
      <c r="A2193">
        <v>37</v>
      </c>
      <c r="B2193" s="1">
        <v>44016</v>
      </c>
      <c r="C2193" t="s">
        <v>348</v>
      </c>
      <c r="D2193" t="s">
        <v>15</v>
      </c>
      <c r="F2193" t="s">
        <v>343</v>
      </c>
      <c r="G2193">
        <v>1</v>
      </c>
      <c r="H2193">
        <v>280</v>
      </c>
      <c r="I2193">
        <f t="shared" si="1148"/>
        <v>280</v>
      </c>
      <c r="J2193" t="s">
        <v>167</v>
      </c>
      <c r="K2193">
        <v>219</v>
      </c>
      <c r="M2193">
        <f t="shared" si="1149"/>
        <v>219</v>
      </c>
      <c r="N2193">
        <f t="shared" si="1150"/>
        <v>61</v>
      </c>
    </row>
    <row r="2194" spans="1:14" x14ac:dyDescent="0.25">
      <c r="A2194">
        <v>38</v>
      </c>
      <c r="B2194" s="1">
        <v>44016</v>
      </c>
      <c r="C2194" t="s">
        <v>348</v>
      </c>
      <c r="D2194" t="s">
        <v>56</v>
      </c>
      <c r="F2194" t="s">
        <v>333</v>
      </c>
      <c r="G2194">
        <v>1</v>
      </c>
      <c r="H2194">
        <v>100</v>
      </c>
      <c r="I2194">
        <f t="shared" si="1148"/>
        <v>100</v>
      </c>
      <c r="J2194" t="s">
        <v>164</v>
      </c>
      <c r="K2194">
        <v>70</v>
      </c>
      <c r="M2194">
        <f t="shared" si="1149"/>
        <v>70</v>
      </c>
      <c r="N2194">
        <f t="shared" si="1150"/>
        <v>30</v>
      </c>
    </row>
    <row r="2195" spans="1:14" x14ac:dyDescent="0.25">
      <c r="A2195">
        <v>39</v>
      </c>
      <c r="B2195" s="1">
        <v>44016</v>
      </c>
      <c r="C2195" t="s">
        <v>348</v>
      </c>
      <c r="D2195" t="s">
        <v>15</v>
      </c>
      <c r="F2195" t="s">
        <v>343</v>
      </c>
      <c r="G2195">
        <v>4</v>
      </c>
      <c r="H2195">
        <v>280</v>
      </c>
      <c r="I2195">
        <f t="shared" si="1148"/>
        <v>1120</v>
      </c>
      <c r="J2195" t="s">
        <v>167</v>
      </c>
      <c r="K2195">
        <v>219</v>
      </c>
      <c r="M2195">
        <f t="shared" si="1149"/>
        <v>876</v>
      </c>
      <c r="N2195">
        <f t="shared" si="1150"/>
        <v>244</v>
      </c>
    </row>
    <row r="2196" spans="1:14" x14ac:dyDescent="0.25">
      <c r="A2196">
        <v>40</v>
      </c>
      <c r="B2196" s="1">
        <v>44016</v>
      </c>
      <c r="C2196" t="s">
        <v>348</v>
      </c>
      <c r="D2196" t="s">
        <v>55</v>
      </c>
      <c r="F2196" t="s">
        <v>247</v>
      </c>
      <c r="G2196">
        <v>4</v>
      </c>
      <c r="H2196">
        <v>300</v>
      </c>
      <c r="I2196">
        <f t="shared" si="1148"/>
        <v>1200</v>
      </c>
      <c r="J2196" t="s">
        <v>167</v>
      </c>
      <c r="K2196">
        <v>268</v>
      </c>
      <c r="M2196">
        <f t="shared" si="1149"/>
        <v>1072</v>
      </c>
      <c r="N2196">
        <f t="shared" si="1150"/>
        <v>128</v>
      </c>
    </row>
    <row r="2197" spans="1:14" x14ac:dyDescent="0.25">
      <c r="A2197">
        <v>41</v>
      </c>
      <c r="B2197" s="1">
        <v>44016</v>
      </c>
      <c r="C2197" t="s">
        <v>348</v>
      </c>
      <c r="D2197" t="s">
        <v>26</v>
      </c>
      <c r="F2197" t="s">
        <v>47</v>
      </c>
      <c r="G2197">
        <v>36</v>
      </c>
      <c r="H2197">
        <v>340</v>
      </c>
      <c r="I2197">
        <f t="shared" si="1148"/>
        <v>12240</v>
      </c>
      <c r="J2197" t="s">
        <v>99</v>
      </c>
      <c r="K2197">
        <v>261</v>
      </c>
      <c r="M2197">
        <f t="shared" si="1149"/>
        <v>9396</v>
      </c>
      <c r="N2197">
        <f t="shared" si="1150"/>
        <v>2844</v>
      </c>
    </row>
    <row r="2198" spans="1:14" x14ac:dyDescent="0.25">
      <c r="A2198">
        <v>42</v>
      </c>
      <c r="B2198" s="1">
        <v>44016</v>
      </c>
      <c r="C2198" t="s">
        <v>348</v>
      </c>
      <c r="D2198" t="s">
        <v>55</v>
      </c>
      <c r="F2198" t="s">
        <v>378</v>
      </c>
      <c r="G2198">
        <v>2</v>
      </c>
      <c r="H2198">
        <v>270</v>
      </c>
      <c r="I2198">
        <f t="shared" si="1148"/>
        <v>540</v>
      </c>
      <c r="J2198" t="s">
        <v>167</v>
      </c>
      <c r="K2198">
        <v>207</v>
      </c>
      <c r="M2198">
        <f t="shared" si="1149"/>
        <v>414</v>
      </c>
      <c r="N2198">
        <f t="shared" si="1150"/>
        <v>126</v>
      </c>
    </row>
    <row r="2199" spans="1:14" x14ac:dyDescent="0.25">
      <c r="A2199">
        <v>43</v>
      </c>
      <c r="B2199" s="1">
        <v>44016</v>
      </c>
      <c r="C2199" t="s">
        <v>348</v>
      </c>
      <c r="D2199" t="s">
        <v>56</v>
      </c>
      <c r="F2199" t="s">
        <v>333</v>
      </c>
      <c r="G2199">
        <v>1</v>
      </c>
      <c r="H2199">
        <v>100</v>
      </c>
      <c r="I2199">
        <f t="shared" si="1148"/>
        <v>100</v>
      </c>
      <c r="J2199" t="s">
        <v>164</v>
      </c>
      <c r="K2199">
        <v>70</v>
      </c>
      <c r="M2199">
        <f t="shared" si="1149"/>
        <v>70</v>
      </c>
      <c r="N2199">
        <f t="shared" si="1150"/>
        <v>30</v>
      </c>
    </row>
    <row r="2200" spans="1:14" x14ac:dyDescent="0.25">
      <c r="A2200">
        <v>44</v>
      </c>
      <c r="B2200" s="1">
        <v>44016</v>
      </c>
      <c r="C2200" t="s">
        <v>348</v>
      </c>
      <c r="D2200" t="s">
        <v>55</v>
      </c>
      <c r="F2200" t="s">
        <v>22</v>
      </c>
      <c r="G2200">
        <v>1</v>
      </c>
      <c r="H2200">
        <v>300</v>
      </c>
      <c r="I2200">
        <f t="shared" si="1148"/>
        <v>300</v>
      </c>
      <c r="J2200" t="s">
        <v>167</v>
      </c>
      <c r="K2200">
        <v>268</v>
      </c>
      <c r="M2200">
        <f t="shared" si="1149"/>
        <v>268</v>
      </c>
      <c r="N2200">
        <f t="shared" si="1150"/>
        <v>32</v>
      </c>
    </row>
    <row r="2201" spans="1:14" x14ac:dyDescent="0.25">
      <c r="A2201">
        <v>45</v>
      </c>
      <c r="B2201" s="1">
        <v>44016</v>
      </c>
      <c r="C2201" t="s">
        <v>348</v>
      </c>
      <c r="D2201" t="s">
        <v>56</v>
      </c>
      <c r="F2201" t="s">
        <v>333</v>
      </c>
      <c r="G2201">
        <v>1</v>
      </c>
      <c r="H2201">
        <v>100</v>
      </c>
      <c r="I2201">
        <f t="shared" ref="I2201:I2264" si="1151">+G2201*H2201</f>
        <v>100</v>
      </c>
      <c r="J2201" t="s">
        <v>164</v>
      </c>
      <c r="K2201">
        <v>70</v>
      </c>
      <c r="M2201">
        <f t="shared" si="1149"/>
        <v>70</v>
      </c>
      <c r="N2201">
        <f t="shared" si="1150"/>
        <v>30</v>
      </c>
    </row>
    <row r="2202" spans="1:14" x14ac:dyDescent="0.25">
      <c r="A2202">
        <v>46</v>
      </c>
      <c r="B2202" s="1">
        <v>44016</v>
      </c>
      <c r="C2202" t="s">
        <v>348</v>
      </c>
      <c r="D2202" t="s">
        <v>15</v>
      </c>
      <c r="F2202" t="s">
        <v>19</v>
      </c>
      <c r="G2202">
        <v>1</v>
      </c>
      <c r="H2202">
        <v>300</v>
      </c>
      <c r="I2202">
        <f t="shared" si="1151"/>
        <v>300</v>
      </c>
      <c r="J2202" t="s">
        <v>167</v>
      </c>
      <c r="K2202">
        <v>268</v>
      </c>
      <c r="M2202">
        <f t="shared" si="1149"/>
        <v>268</v>
      </c>
      <c r="N2202">
        <f t="shared" si="1150"/>
        <v>32</v>
      </c>
    </row>
    <row r="2203" spans="1:14" x14ac:dyDescent="0.25">
      <c r="A2203">
        <v>47</v>
      </c>
      <c r="B2203" s="1">
        <v>44018</v>
      </c>
      <c r="C2203" t="s">
        <v>348</v>
      </c>
      <c r="D2203" t="s">
        <v>15</v>
      </c>
      <c r="F2203" t="s">
        <v>28</v>
      </c>
      <c r="G2203">
        <v>3</v>
      </c>
      <c r="H2203">
        <v>240</v>
      </c>
      <c r="I2203">
        <f t="shared" si="1151"/>
        <v>720</v>
      </c>
      <c r="J2203" t="s">
        <v>163</v>
      </c>
      <c r="K2203">
        <v>217</v>
      </c>
      <c r="M2203">
        <f t="shared" si="1149"/>
        <v>651</v>
      </c>
      <c r="N2203">
        <f t="shared" si="1150"/>
        <v>69</v>
      </c>
    </row>
    <row r="2204" spans="1:14" x14ac:dyDescent="0.25">
      <c r="A2204">
        <v>48</v>
      </c>
      <c r="B2204" s="1">
        <v>44018</v>
      </c>
      <c r="C2204" t="s">
        <v>348</v>
      </c>
      <c r="D2204" t="s">
        <v>15</v>
      </c>
      <c r="F2204" t="s">
        <v>388</v>
      </c>
      <c r="G2204">
        <f>20/9</f>
        <v>2.2222222222222223</v>
      </c>
      <c r="H2204">
        <v>240</v>
      </c>
      <c r="I2204">
        <f t="shared" si="1151"/>
        <v>533.33333333333337</v>
      </c>
      <c r="J2204" t="s">
        <v>163</v>
      </c>
      <c r="K2204">
        <v>205</v>
      </c>
      <c r="M2204">
        <f t="shared" si="1149"/>
        <v>455.5555555555556</v>
      </c>
      <c r="N2204">
        <f t="shared" si="1150"/>
        <v>77.777777777777771</v>
      </c>
    </row>
    <row r="2205" spans="1:14" x14ac:dyDescent="0.25">
      <c r="A2205">
        <v>49</v>
      </c>
      <c r="B2205" s="1">
        <v>44018</v>
      </c>
      <c r="C2205" t="s">
        <v>348</v>
      </c>
      <c r="D2205" t="s">
        <v>15</v>
      </c>
      <c r="F2205" t="s">
        <v>388</v>
      </c>
      <c r="G2205">
        <v>2</v>
      </c>
      <c r="H2205">
        <v>280</v>
      </c>
      <c r="I2205">
        <f t="shared" si="1151"/>
        <v>560</v>
      </c>
      <c r="J2205" t="s">
        <v>163</v>
      </c>
      <c r="K2205">
        <v>205</v>
      </c>
      <c r="M2205">
        <f t="shared" si="1149"/>
        <v>410</v>
      </c>
      <c r="N2205">
        <f t="shared" si="1150"/>
        <v>150</v>
      </c>
    </row>
    <row r="2206" spans="1:14" x14ac:dyDescent="0.25">
      <c r="A2206">
        <v>50</v>
      </c>
      <c r="B2206" s="1">
        <v>44018</v>
      </c>
      <c r="C2206" t="s">
        <v>348</v>
      </c>
      <c r="D2206" t="s">
        <v>25</v>
      </c>
      <c r="F2206" t="s">
        <v>383</v>
      </c>
      <c r="G2206">
        <v>1</v>
      </c>
      <c r="H2206">
        <v>60</v>
      </c>
      <c r="I2206">
        <f t="shared" si="1151"/>
        <v>60</v>
      </c>
      <c r="J2206" t="s">
        <v>165</v>
      </c>
      <c r="K2206">
        <v>33</v>
      </c>
      <c r="M2206">
        <f t="shared" si="1149"/>
        <v>33</v>
      </c>
      <c r="N2206">
        <f t="shared" si="1150"/>
        <v>27</v>
      </c>
    </row>
    <row r="2207" spans="1:14" x14ac:dyDescent="0.25">
      <c r="A2207">
        <v>51</v>
      </c>
      <c r="B2207" s="1">
        <v>44019</v>
      </c>
      <c r="C2207" t="s">
        <v>348</v>
      </c>
      <c r="D2207" t="s">
        <v>25</v>
      </c>
      <c r="F2207" t="s">
        <v>203</v>
      </c>
      <c r="G2207">
        <v>1</v>
      </c>
      <c r="H2207">
        <v>100</v>
      </c>
      <c r="I2207">
        <f t="shared" si="1151"/>
        <v>100</v>
      </c>
      <c r="J2207" t="s">
        <v>163</v>
      </c>
      <c r="K2207">
        <v>70</v>
      </c>
      <c r="M2207">
        <f t="shared" si="1149"/>
        <v>70</v>
      </c>
      <c r="N2207">
        <f t="shared" si="1150"/>
        <v>30</v>
      </c>
    </row>
    <row r="2208" spans="1:14" x14ac:dyDescent="0.25">
      <c r="A2208">
        <v>52</v>
      </c>
      <c r="B2208" s="1">
        <v>44019</v>
      </c>
      <c r="C2208" t="s">
        <v>348</v>
      </c>
      <c r="D2208" t="s">
        <v>56</v>
      </c>
      <c r="F2208" t="s">
        <v>267</v>
      </c>
      <c r="G2208">
        <v>1</v>
      </c>
      <c r="H2208">
        <v>170</v>
      </c>
      <c r="I2208">
        <f t="shared" si="1151"/>
        <v>170</v>
      </c>
      <c r="J2208" t="s">
        <v>163</v>
      </c>
      <c r="K2208">
        <v>123</v>
      </c>
      <c r="M2208">
        <f t="shared" si="1149"/>
        <v>123</v>
      </c>
      <c r="N2208">
        <f t="shared" si="1150"/>
        <v>47</v>
      </c>
    </row>
    <row r="2209" spans="1:14" x14ac:dyDescent="0.25">
      <c r="A2209">
        <v>53</v>
      </c>
      <c r="B2209" s="1">
        <v>44019</v>
      </c>
      <c r="C2209" t="s">
        <v>348</v>
      </c>
      <c r="D2209" t="s">
        <v>56</v>
      </c>
      <c r="F2209" t="s">
        <v>333</v>
      </c>
      <c r="G2209">
        <v>6</v>
      </c>
      <c r="H2209">
        <v>100</v>
      </c>
      <c r="I2209">
        <f t="shared" si="1151"/>
        <v>600</v>
      </c>
      <c r="J2209" t="s">
        <v>164</v>
      </c>
      <c r="K2209">
        <v>70</v>
      </c>
      <c r="M2209">
        <f t="shared" si="1149"/>
        <v>420</v>
      </c>
      <c r="N2209">
        <f t="shared" si="1150"/>
        <v>180</v>
      </c>
    </row>
    <row r="2210" spans="1:14" x14ac:dyDescent="0.25">
      <c r="A2210">
        <v>54</v>
      </c>
      <c r="B2210" s="1">
        <v>44019</v>
      </c>
      <c r="C2210" t="s">
        <v>348</v>
      </c>
      <c r="D2210" t="s">
        <v>44</v>
      </c>
      <c r="F2210" t="s">
        <v>138</v>
      </c>
      <c r="G2210">
        <v>1</v>
      </c>
      <c r="H2210">
        <v>35</v>
      </c>
      <c r="I2210">
        <f t="shared" si="1151"/>
        <v>35</v>
      </c>
      <c r="J2210" t="s">
        <v>198</v>
      </c>
      <c r="K2210">
        <v>29</v>
      </c>
      <c r="M2210">
        <f t="shared" si="1149"/>
        <v>29</v>
      </c>
      <c r="N2210">
        <f t="shared" si="1150"/>
        <v>6</v>
      </c>
    </row>
    <row r="2211" spans="1:14" x14ac:dyDescent="0.25">
      <c r="A2211">
        <v>55</v>
      </c>
      <c r="B2211" s="1">
        <v>44019</v>
      </c>
      <c r="C2211" t="s">
        <v>348</v>
      </c>
      <c r="D2211" t="s">
        <v>15</v>
      </c>
      <c r="F2211" t="s">
        <v>29</v>
      </c>
      <c r="G2211">
        <v>1.53</v>
      </c>
      <c r="H2211">
        <v>240</v>
      </c>
      <c r="I2211">
        <f t="shared" si="1151"/>
        <v>367.2</v>
      </c>
      <c r="J2211" t="s">
        <v>163</v>
      </c>
      <c r="K2211">
        <v>210</v>
      </c>
      <c r="M2211">
        <f t="shared" si="1149"/>
        <v>321.3</v>
      </c>
      <c r="N2211">
        <f t="shared" si="1150"/>
        <v>45.899999999999977</v>
      </c>
    </row>
    <row r="2212" spans="1:14" x14ac:dyDescent="0.25">
      <c r="A2212">
        <v>56</v>
      </c>
      <c r="B2212" s="1">
        <v>44019</v>
      </c>
      <c r="C2212" t="s">
        <v>348</v>
      </c>
      <c r="D2212" t="s">
        <v>25</v>
      </c>
      <c r="F2212" t="s">
        <v>203</v>
      </c>
      <c r="G2212">
        <v>1</v>
      </c>
      <c r="H2212">
        <v>100</v>
      </c>
      <c r="I2212">
        <f t="shared" si="1151"/>
        <v>100</v>
      </c>
      <c r="J2212" t="s">
        <v>163</v>
      </c>
      <c r="K2212">
        <v>70</v>
      </c>
      <c r="M2212">
        <f t="shared" si="1149"/>
        <v>70</v>
      </c>
      <c r="N2212">
        <f t="shared" si="1150"/>
        <v>30</v>
      </c>
    </row>
    <row r="2213" spans="1:14" x14ac:dyDescent="0.25">
      <c r="A2213">
        <v>57</v>
      </c>
      <c r="B2213" s="1">
        <v>44019</v>
      </c>
      <c r="C2213" t="s">
        <v>348</v>
      </c>
      <c r="D2213" t="s">
        <v>70</v>
      </c>
      <c r="F2213" t="s">
        <v>227</v>
      </c>
      <c r="G2213">
        <v>1</v>
      </c>
      <c r="H2213">
        <v>1630</v>
      </c>
      <c r="I2213">
        <f t="shared" si="1151"/>
        <v>1630</v>
      </c>
      <c r="J2213" t="s">
        <v>167</v>
      </c>
      <c r="K2213">
        <v>1440</v>
      </c>
      <c r="M2213">
        <f t="shared" si="1149"/>
        <v>1440</v>
      </c>
      <c r="N2213">
        <f t="shared" si="1150"/>
        <v>190</v>
      </c>
    </row>
    <row r="2214" spans="1:14" x14ac:dyDescent="0.25">
      <c r="A2214">
        <v>58</v>
      </c>
      <c r="B2214" s="1">
        <v>44019</v>
      </c>
      <c r="C2214" t="s">
        <v>348</v>
      </c>
      <c r="D2214" t="s">
        <v>23</v>
      </c>
      <c r="F2214" t="s">
        <v>66</v>
      </c>
      <c r="G2214">
        <v>1</v>
      </c>
      <c r="H2214">
        <v>120</v>
      </c>
      <c r="I2214">
        <f t="shared" si="1151"/>
        <v>120</v>
      </c>
      <c r="J2214" t="s">
        <v>187</v>
      </c>
      <c r="K2214">
        <v>88</v>
      </c>
      <c r="M2214">
        <f t="shared" si="1149"/>
        <v>88</v>
      </c>
      <c r="N2214">
        <f t="shared" si="1150"/>
        <v>32</v>
      </c>
    </row>
    <row r="2215" spans="1:14" x14ac:dyDescent="0.25">
      <c r="A2215">
        <v>59</v>
      </c>
      <c r="B2215" s="1">
        <v>44019</v>
      </c>
      <c r="C2215" t="s">
        <v>348</v>
      </c>
      <c r="D2215" t="s">
        <v>15</v>
      </c>
      <c r="F2215" t="s">
        <v>359</v>
      </c>
      <c r="G2215">
        <v>25</v>
      </c>
      <c r="H2215">
        <v>270</v>
      </c>
      <c r="I2215">
        <f t="shared" si="1151"/>
        <v>6750</v>
      </c>
      <c r="J2215" t="s">
        <v>167</v>
      </c>
      <c r="K2215">
        <v>247</v>
      </c>
      <c r="M2215">
        <f t="shared" si="1149"/>
        <v>6175</v>
      </c>
      <c r="N2215">
        <f t="shared" si="1150"/>
        <v>575</v>
      </c>
    </row>
    <row r="2216" spans="1:14" x14ac:dyDescent="0.25">
      <c r="A2216">
        <v>60</v>
      </c>
      <c r="B2216" s="1">
        <v>44019</v>
      </c>
      <c r="C2216" t="s">
        <v>348</v>
      </c>
      <c r="D2216" t="s">
        <v>15</v>
      </c>
      <c r="F2216" t="s">
        <v>20</v>
      </c>
      <c r="G2216">
        <v>1</v>
      </c>
      <c r="H2216">
        <v>250</v>
      </c>
      <c r="I2216">
        <f t="shared" si="1151"/>
        <v>250</v>
      </c>
      <c r="J2216" t="s">
        <v>163</v>
      </c>
      <c r="K2216">
        <v>230</v>
      </c>
      <c r="M2216">
        <f t="shared" si="1149"/>
        <v>230</v>
      </c>
      <c r="N2216">
        <f t="shared" si="1150"/>
        <v>20</v>
      </c>
    </row>
    <row r="2217" spans="1:14" x14ac:dyDescent="0.25">
      <c r="A2217">
        <v>61</v>
      </c>
      <c r="B2217" s="1">
        <v>44019</v>
      </c>
      <c r="C2217" t="s">
        <v>348</v>
      </c>
      <c r="D2217" t="s">
        <v>56</v>
      </c>
      <c r="F2217" t="s">
        <v>267</v>
      </c>
      <c r="G2217">
        <v>1</v>
      </c>
      <c r="H2217">
        <v>170</v>
      </c>
      <c r="I2217">
        <f t="shared" si="1151"/>
        <v>170</v>
      </c>
      <c r="J2217" t="s">
        <v>163</v>
      </c>
      <c r="K2217">
        <v>123</v>
      </c>
      <c r="M2217">
        <f t="shared" si="1149"/>
        <v>123</v>
      </c>
      <c r="N2217">
        <f t="shared" si="1150"/>
        <v>47</v>
      </c>
    </row>
    <row r="2218" spans="1:14" x14ac:dyDescent="0.25">
      <c r="A2218">
        <v>62</v>
      </c>
      <c r="B2218" s="1">
        <v>44020</v>
      </c>
      <c r="C2218" t="s">
        <v>348</v>
      </c>
      <c r="D2218" t="s">
        <v>15</v>
      </c>
      <c r="F2218" t="s">
        <v>29</v>
      </c>
      <c r="G2218">
        <v>1</v>
      </c>
      <c r="H2218">
        <v>230</v>
      </c>
      <c r="I2218">
        <f t="shared" si="1151"/>
        <v>230</v>
      </c>
      <c r="J2218" t="s">
        <v>163</v>
      </c>
      <c r="K2218">
        <v>210</v>
      </c>
      <c r="M2218">
        <f t="shared" si="1149"/>
        <v>210</v>
      </c>
      <c r="N2218">
        <f t="shared" si="1150"/>
        <v>20</v>
      </c>
    </row>
    <row r="2219" spans="1:14" x14ac:dyDescent="0.25">
      <c r="A2219">
        <v>63</v>
      </c>
      <c r="B2219" s="1">
        <v>44020</v>
      </c>
      <c r="C2219" t="s">
        <v>348</v>
      </c>
      <c r="D2219" t="s">
        <v>15</v>
      </c>
      <c r="F2219" t="s">
        <v>29</v>
      </c>
      <c r="G2219">
        <v>17</v>
      </c>
      <c r="H2219">
        <v>230</v>
      </c>
      <c r="I2219">
        <f t="shared" si="1151"/>
        <v>3910</v>
      </c>
      <c r="J2219" t="s">
        <v>163</v>
      </c>
      <c r="K2219">
        <v>210</v>
      </c>
      <c r="M2219">
        <f t="shared" si="1149"/>
        <v>3570</v>
      </c>
      <c r="N2219">
        <f t="shared" si="1150"/>
        <v>340</v>
      </c>
    </row>
    <row r="2220" spans="1:14" x14ac:dyDescent="0.25">
      <c r="A2220">
        <v>64</v>
      </c>
      <c r="B2220" s="1">
        <v>44020</v>
      </c>
      <c r="C2220" t="s">
        <v>348</v>
      </c>
      <c r="D2220" t="s">
        <v>56</v>
      </c>
      <c r="F2220" t="s">
        <v>390</v>
      </c>
      <c r="G2220">
        <v>4</v>
      </c>
      <c r="H2220">
        <v>120</v>
      </c>
      <c r="I2220">
        <f t="shared" si="1151"/>
        <v>480</v>
      </c>
      <c r="J2220" t="s">
        <v>165</v>
      </c>
      <c r="K2220">
        <v>80</v>
      </c>
      <c r="M2220">
        <f t="shared" si="1149"/>
        <v>320</v>
      </c>
      <c r="N2220">
        <f t="shared" si="1150"/>
        <v>160</v>
      </c>
    </row>
    <row r="2221" spans="1:14" x14ac:dyDescent="0.25">
      <c r="A2221">
        <v>65</v>
      </c>
      <c r="B2221" s="1">
        <v>44020</v>
      </c>
      <c r="C2221" t="s">
        <v>348</v>
      </c>
      <c r="D2221" t="s">
        <v>55</v>
      </c>
      <c r="F2221" t="s">
        <v>149</v>
      </c>
      <c r="G2221">
        <v>3</v>
      </c>
      <c r="H2221">
        <v>300</v>
      </c>
      <c r="I2221">
        <f t="shared" si="1151"/>
        <v>900</v>
      </c>
      <c r="J2221" t="s">
        <v>167</v>
      </c>
      <c r="K2221">
        <v>268</v>
      </c>
      <c r="M2221">
        <f t="shared" si="1149"/>
        <v>804</v>
      </c>
      <c r="N2221">
        <f t="shared" si="1150"/>
        <v>96</v>
      </c>
    </row>
    <row r="2222" spans="1:14" x14ac:dyDescent="0.25">
      <c r="A2222">
        <v>66</v>
      </c>
      <c r="B2222" s="1">
        <v>44020</v>
      </c>
      <c r="C2222" t="s">
        <v>348</v>
      </c>
      <c r="D2222" t="s">
        <v>56</v>
      </c>
      <c r="F2222" t="s">
        <v>267</v>
      </c>
      <c r="G2222">
        <v>4</v>
      </c>
      <c r="H2222">
        <v>170</v>
      </c>
      <c r="I2222">
        <f t="shared" si="1151"/>
        <v>680</v>
      </c>
      <c r="J2222" t="s">
        <v>163</v>
      </c>
      <c r="K2222">
        <v>123</v>
      </c>
      <c r="M2222">
        <f t="shared" si="1149"/>
        <v>492</v>
      </c>
      <c r="N2222">
        <f t="shared" si="1150"/>
        <v>188</v>
      </c>
    </row>
    <row r="2223" spans="1:14" x14ac:dyDescent="0.25">
      <c r="A2223">
        <v>67</v>
      </c>
      <c r="B2223" s="1">
        <v>44020</v>
      </c>
      <c r="C2223" t="s">
        <v>348</v>
      </c>
      <c r="D2223" t="s">
        <v>25</v>
      </c>
      <c r="F2223" t="s">
        <v>58</v>
      </c>
      <c r="G2223">
        <v>1</v>
      </c>
      <c r="H2223">
        <v>60</v>
      </c>
      <c r="I2223">
        <f t="shared" si="1151"/>
        <v>60</v>
      </c>
      <c r="J2223" t="s">
        <v>165</v>
      </c>
      <c r="K2223">
        <v>33</v>
      </c>
      <c r="M2223">
        <f t="shared" si="1149"/>
        <v>33</v>
      </c>
      <c r="N2223">
        <f t="shared" si="1150"/>
        <v>27</v>
      </c>
    </row>
    <row r="2224" spans="1:14" x14ac:dyDescent="0.25">
      <c r="A2224">
        <v>68</v>
      </c>
      <c r="B2224" s="1">
        <v>44020</v>
      </c>
      <c r="C2224" t="s">
        <v>348</v>
      </c>
      <c r="D2224" t="s">
        <v>78</v>
      </c>
      <c r="F2224" t="s">
        <v>79</v>
      </c>
      <c r="G2224">
        <v>1</v>
      </c>
      <c r="H2224">
        <v>1550</v>
      </c>
      <c r="I2224">
        <f t="shared" si="1151"/>
        <v>1550</v>
      </c>
      <c r="J2224" t="s">
        <v>167</v>
      </c>
      <c r="K2224">
        <v>1330</v>
      </c>
      <c r="M2224">
        <f t="shared" si="1149"/>
        <v>1330</v>
      </c>
      <c r="N2224">
        <f t="shared" si="1150"/>
        <v>220</v>
      </c>
    </row>
    <row r="2225" spans="1:14" x14ac:dyDescent="0.25">
      <c r="A2225">
        <v>69</v>
      </c>
      <c r="B2225" s="1">
        <v>44020</v>
      </c>
      <c r="C2225" t="s">
        <v>348</v>
      </c>
      <c r="D2225" t="s">
        <v>78</v>
      </c>
      <c r="F2225" t="s">
        <v>124</v>
      </c>
      <c r="G2225">
        <v>1</v>
      </c>
      <c r="H2225">
        <v>90</v>
      </c>
      <c r="I2225">
        <f t="shared" si="1151"/>
        <v>90</v>
      </c>
      <c r="J2225" t="s">
        <v>198</v>
      </c>
      <c r="M2225" t="str">
        <f t="shared" si="1149"/>
        <v/>
      </c>
      <c r="N2225" t="str">
        <f t="shared" si="1150"/>
        <v/>
      </c>
    </row>
    <row r="2226" spans="1:14" x14ac:dyDescent="0.25">
      <c r="A2226">
        <v>70</v>
      </c>
      <c r="B2226" s="1">
        <v>44020</v>
      </c>
      <c r="C2226" t="s">
        <v>348</v>
      </c>
      <c r="D2226" t="s">
        <v>78</v>
      </c>
      <c r="F2226" t="s">
        <v>245</v>
      </c>
      <c r="G2226">
        <v>1</v>
      </c>
      <c r="H2226">
        <v>80</v>
      </c>
      <c r="I2226">
        <f t="shared" si="1151"/>
        <v>80</v>
      </c>
      <c r="J2226" t="s">
        <v>198</v>
      </c>
      <c r="M2226" t="str">
        <f t="shared" si="1149"/>
        <v/>
      </c>
      <c r="N2226" t="str">
        <f t="shared" si="1150"/>
        <v/>
      </c>
    </row>
    <row r="2227" spans="1:14" x14ac:dyDescent="0.25">
      <c r="A2227">
        <v>71</v>
      </c>
      <c r="B2227" s="1">
        <v>44020</v>
      </c>
      <c r="C2227" t="s">
        <v>348</v>
      </c>
      <c r="D2227" t="s">
        <v>78</v>
      </c>
      <c r="F2227" t="s">
        <v>42</v>
      </c>
      <c r="G2227">
        <v>1</v>
      </c>
      <c r="H2227">
        <v>650</v>
      </c>
      <c r="I2227">
        <f t="shared" si="1151"/>
        <v>650</v>
      </c>
      <c r="J2227" t="s">
        <v>166</v>
      </c>
      <c r="M2227" t="str">
        <f t="shared" si="1149"/>
        <v/>
      </c>
      <c r="N2227" t="str">
        <f t="shared" si="1150"/>
        <v/>
      </c>
    </row>
    <row r="2228" spans="1:14" x14ac:dyDescent="0.25">
      <c r="A2228">
        <v>72</v>
      </c>
      <c r="B2228" s="1">
        <v>44020</v>
      </c>
      <c r="C2228" t="s">
        <v>348</v>
      </c>
      <c r="D2228" t="s">
        <v>56</v>
      </c>
      <c r="F2228" t="s">
        <v>267</v>
      </c>
      <c r="G2228">
        <v>20</v>
      </c>
      <c r="H2228">
        <v>170</v>
      </c>
      <c r="I2228">
        <f t="shared" si="1151"/>
        <v>3400</v>
      </c>
      <c r="J2228" t="s">
        <v>163</v>
      </c>
      <c r="K2228">
        <v>123</v>
      </c>
      <c r="M2228">
        <f t="shared" si="1149"/>
        <v>2460</v>
      </c>
      <c r="N2228">
        <f t="shared" si="1150"/>
        <v>940</v>
      </c>
    </row>
    <row r="2229" spans="1:14" x14ac:dyDescent="0.25">
      <c r="A2229">
        <v>73</v>
      </c>
      <c r="B2229" s="1">
        <v>44020</v>
      </c>
      <c r="C2229" t="s">
        <v>348</v>
      </c>
      <c r="D2229" t="s">
        <v>15</v>
      </c>
      <c r="F2229" t="s">
        <v>33</v>
      </c>
      <c r="G2229">
        <v>2</v>
      </c>
      <c r="H2229">
        <v>280</v>
      </c>
      <c r="I2229">
        <f t="shared" si="1151"/>
        <v>560</v>
      </c>
      <c r="J2229" t="s">
        <v>163</v>
      </c>
      <c r="K2229">
        <v>230</v>
      </c>
      <c r="M2229">
        <f t="shared" si="1149"/>
        <v>460</v>
      </c>
      <c r="N2229">
        <f t="shared" si="1150"/>
        <v>100</v>
      </c>
    </row>
    <row r="2230" spans="1:14" x14ac:dyDescent="0.25">
      <c r="A2230">
        <v>74</v>
      </c>
      <c r="B2230" s="1">
        <v>44020</v>
      </c>
      <c r="C2230" t="s">
        <v>348</v>
      </c>
      <c r="D2230" t="s">
        <v>25</v>
      </c>
      <c r="F2230" t="s">
        <v>127</v>
      </c>
      <c r="G2230">
        <v>8</v>
      </c>
      <c r="H2230">
        <v>60</v>
      </c>
      <c r="I2230">
        <f t="shared" si="1151"/>
        <v>480</v>
      </c>
      <c r="J2230" t="s">
        <v>165</v>
      </c>
      <c r="K2230">
        <v>33</v>
      </c>
      <c r="M2230">
        <f t="shared" si="1149"/>
        <v>264</v>
      </c>
      <c r="N2230">
        <f t="shared" si="1150"/>
        <v>216</v>
      </c>
    </row>
    <row r="2231" spans="1:14" x14ac:dyDescent="0.25">
      <c r="A2231">
        <v>75</v>
      </c>
      <c r="B2231" s="1">
        <v>44021</v>
      </c>
      <c r="C2231" t="s">
        <v>348</v>
      </c>
      <c r="D2231" t="s">
        <v>56</v>
      </c>
      <c r="F2231" t="s">
        <v>267</v>
      </c>
      <c r="G2231">
        <v>1</v>
      </c>
      <c r="H2231">
        <v>170</v>
      </c>
      <c r="I2231">
        <f t="shared" si="1151"/>
        <v>170</v>
      </c>
      <c r="J2231" t="s">
        <v>163</v>
      </c>
      <c r="K2231">
        <v>123</v>
      </c>
      <c r="M2231">
        <f t="shared" si="1149"/>
        <v>123</v>
      </c>
      <c r="N2231">
        <f t="shared" si="1150"/>
        <v>47</v>
      </c>
    </row>
    <row r="2232" spans="1:14" x14ac:dyDescent="0.25">
      <c r="A2232">
        <v>76</v>
      </c>
      <c r="B2232" s="1">
        <v>44021</v>
      </c>
      <c r="C2232" t="s">
        <v>348</v>
      </c>
      <c r="D2232" t="s">
        <v>25</v>
      </c>
      <c r="F2232" t="s">
        <v>127</v>
      </c>
      <c r="G2232">
        <v>1</v>
      </c>
      <c r="H2232">
        <v>60</v>
      </c>
      <c r="I2232">
        <f t="shared" si="1151"/>
        <v>60</v>
      </c>
      <c r="J2232" t="s">
        <v>165</v>
      </c>
      <c r="K2232">
        <v>33</v>
      </c>
      <c r="M2232">
        <f t="shared" si="1149"/>
        <v>33</v>
      </c>
      <c r="N2232">
        <f t="shared" si="1150"/>
        <v>27</v>
      </c>
    </row>
    <row r="2233" spans="1:14" x14ac:dyDescent="0.25">
      <c r="A2233">
        <v>77</v>
      </c>
      <c r="B2233" s="1">
        <v>44021</v>
      </c>
      <c r="C2233" t="s">
        <v>348</v>
      </c>
      <c r="D2233" t="s">
        <v>15</v>
      </c>
      <c r="F2233" t="s">
        <v>31</v>
      </c>
      <c r="G2233">
        <f>12/9</f>
        <v>1.3333333333333333</v>
      </c>
      <c r="H2233">
        <v>280</v>
      </c>
      <c r="I2233">
        <f t="shared" si="1151"/>
        <v>373.33333333333331</v>
      </c>
      <c r="J2233" t="s">
        <v>163</v>
      </c>
      <c r="K2233">
        <v>247</v>
      </c>
      <c r="M2233">
        <f t="shared" si="1149"/>
        <v>329.33333333333331</v>
      </c>
      <c r="N2233">
        <f t="shared" si="1150"/>
        <v>44</v>
      </c>
    </row>
    <row r="2234" spans="1:14" x14ac:dyDescent="0.25">
      <c r="A2234">
        <v>78</v>
      </c>
      <c r="B2234" s="1">
        <v>44021</v>
      </c>
      <c r="C2234" t="s">
        <v>348</v>
      </c>
      <c r="D2234" t="s">
        <v>15</v>
      </c>
      <c r="F2234" t="s">
        <v>19</v>
      </c>
      <c r="G2234">
        <v>7</v>
      </c>
      <c r="H2234">
        <v>300</v>
      </c>
      <c r="I2234">
        <f t="shared" si="1151"/>
        <v>2100</v>
      </c>
      <c r="J2234" t="s">
        <v>13</v>
      </c>
      <c r="K2234">
        <v>280</v>
      </c>
      <c r="M2234">
        <f t="shared" si="1149"/>
        <v>1960</v>
      </c>
      <c r="N2234">
        <f t="shared" si="1150"/>
        <v>140</v>
      </c>
    </row>
    <row r="2235" spans="1:14" x14ac:dyDescent="0.25">
      <c r="A2235">
        <v>79</v>
      </c>
      <c r="B2235" s="1">
        <v>44021</v>
      </c>
      <c r="C2235" t="s">
        <v>348</v>
      </c>
      <c r="D2235" t="s">
        <v>44</v>
      </c>
      <c r="F2235" t="s">
        <v>138</v>
      </c>
      <c r="G2235">
        <v>1</v>
      </c>
      <c r="H2235">
        <v>35</v>
      </c>
      <c r="I2235">
        <f t="shared" si="1151"/>
        <v>35</v>
      </c>
      <c r="J2235" t="s">
        <v>198</v>
      </c>
      <c r="K2235">
        <v>29</v>
      </c>
      <c r="M2235">
        <f t="shared" si="1149"/>
        <v>29</v>
      </c>
      <c r="N2235">
        <f t="shared" si="1150"/>
        <v>6</v>
      </c>
    </row>
    <row r="2236" spans="1:14" x14ac:dyDescent="0.25">
      <c r="A2236">
        <v>80</v>
      </c>
      <c r="B2236" s="1">
        <v>44021</v>
      </c>
      <c r="C2236" t="s">
        <v>348</v>
      </c>
      <c r="D2236" t="s">
        <v>25</v>
      </c>
      <c r="F2236" t="s">
        <v>127</v>
      </c>
      <c r="G2236">
        <v>1</v>
      </c>
      <c r="H2236">
        <v>60</v>
      </c>
      <c r="I2236">
        <f t="shared" si="1151"/>
        <v>60</v>
      </c>
      <c r="J2236" t="s">
        <v>165</v>
      </c>
      <c r="K2236">
        <v>33</v>
      </c>
      <c r="M2236">
        <f t="shared" si="1149"/>
        <v>33</v>
      </c>
      <c r="N2236">
        <f t="shared" si="1150"/>
        <v>27</v>
      </c>
    </row>
    <row r="2237" spans="1:14" x14ac:dyDescent="0.25">
      <c r="A2237">
        <v>81</v>
      </c>
      <c r="B2237" s="1">
        <v>44021</v>
      </c>
      <c r="C2237" t="s">
        <v>348</v>
      </c>
      <c r="D2237" t="s">
        <v>15</v>
      </c>
      <c r="F2237" t="s">
        <v>28</v>
      </c>
      <c r="G2237">
        <v>1</v>
      </c>
      <c r="H2237">
        <v>240</v>
      </c>
      <c r="I2237">
        <f t="shared" si="1151"/>
        <v>240</v>
      </c>
      <c r="J2237" t="s">
        <v>163</v>
      </c>
      <c r="K2237">
        <v>217</v>
      </c>
      <c r="M2237">
        <f t="shared" si="1149"/>
        <v>217</v>
      </c>
      <c r="N2237">
        <f t="shared" si="1150"/>
        <v>23</v>
      </c>
    </row>
    <row r="2238" spans="1:14" x14ac:dyDescent="0.25">
      <c r="A2238">
        <v>82</v>
      </c>
      <c r="B2238" s="1">
        <v>44021</v>
      </c>
      <c r="C2238" t="s">
        <v>348</v>
      </c>
      <c r="D2238" t="s">
        <v>55</v>
      </c>
      <c r="F2238" t="s">
        <v>149</v>
      </c>
      <c r="G2238">
        <v>1</v>
      </c>
      <c r="H2238">
        <v>300</v>
      </c>
      <c r="I2238">
        <f t="shared" si="1151"/>
        <v>300</v>
      </c>
      <c r="J2238" t="s">
        <v>167</v>
      </c>
      <c r="K2238">
        <v>268</v>
      </c>
      <c r="M2238">
        <f t="shared" si="1149"/>
        <v>268</v>
      </c>
      <c r="N2238">
        <f t="shared" si="1150"/>
        <v>32</v>
      </c>
    </row>
    <row r="2239" spans="1:14" x14ac:dyDescent="0.25">
      <c r="A2239">
        <v>83</v>
      </c>
      <c r="B2239" s="1">
        <v>44021</v>
      </c>
      <c r="C2239" t="s">
        <v>348</v>
      </c>
      <c r="D2239" t="s">
        <v>23</v>
      </c>
      <c r="F2239" t="s">
        <v>364</v>
      </c>
      <c r="G2239">
        <v>1</v>
      </c>
      <c r="H2239">
        <v>280</v>
      </c>
      <c r="I2239">
        <f t="shared" si="1151"/>
        <v>280</v>
      </c>
      <c r="J2239" t="s">
        <v>163</v>
      </c>
      <c r="K2239">
        <v>0</v>
      </c>
      <c r="M2239" t="str">
        <f t="shared" si="1149"/>
        <v/>
      </c>
      <c r="N2239" t="str">
        <f t="shared" si="1150"/>
        <v/>
      </c>
    </row>
    <row r="2240" spans="1:14" x14ac:dyDescent="0.25">
      <c r="A2240">
        <v>84</v>
      </c>
      <c r="B2240" s="1">
        <v>44021</v>
      </c>
      <c r="C2240" t="s">
        <v>348</v>
      </c>
      <c r="D2240" t="s">
        <v>15</v>
      </c>
      <c r="F2240" t="s">
        <v>20</v>
      </c>
      <c r="G2240">
        <v>34</v>
      </c>
      <c r="H2240">
        <v>250</v>
      </c>
      <c r="I2240">
        <f t="shared" si="1151"/>
        <v>8500</v>
      </c>
      <c r="J2240" t="s">
        <v>163</v>
      </c>
      <c r="K2240">
        <v>230</v>
      </c>
      <c r="M2240">
        <f t="shared" si="1149"/>
        <v>7820</v>
      </c>
      <c r="N2240">
        <f t="shared" si="1150"/>
        <v>680</v>
      </c>
    </row>
    <row r="2241" spans="1:14" x14ac:dyDescent="0.25">
      <c r="A2241">
        <v>85</v>
      </c>
      <c r="B2241" s="1">
        <v>44021</v>
      </c>
      <c r="C2241" t="s">
        <v>348</v>
      </c>
      <c r="D2241" t="s">
        <v>15</v>
      </c>
      <c r="F2241" t="s">
        <v>20</v>
      </c>
      <c r="G2241">
        <v>3</v>
      </c>
      <c r="H2241">
        <v>250</v>
      </c>
      <c r="I2241">
        <f t="shared" si="1151"/>
        <v>750</v>
      </c>
      <c r="J2241" t="s">
        <v>163</v>
      </c>
      <c r="K2241">
        <v>230</v>
      </c>
      <c r="M2241">
        <f t="shared" si="1149"/>
        <v>690</v>
      </c>
      <c r="N2241">
        <f t="shared" si="1150"/>
        <v>60</v>
      </c>
    </row>
    <row r="2242" spans="1:14" x14ac:dyDescent="0.25">
      <c r="A2242">
        <v>86</v>
      </c>
      <c r="B2242" s="1">
        <v>44021</v>
      </c>
      <c r="C2242" t="s">
        <v>348</v>
      </c>
      <c r="D2242" t="s">
        <v>15</v>
      </c>
      <c r="F2242" t="s">
        <v>20</v>
      </c>
      <c r="G2242">
        <v>26</v>
      </c>
      <c r="H2242">
        <v>250</v>
      </c>
      <c r="I2242">
        <f t="shared" si="1151"/>
        <v>6500</v>
      </c>
      <c r="J2242" t="s">
        <v>163</v>
      </c>
      <c r="K2242">
        <v>230</v>
      </c>
      <c r="M2242">
        <f t="shared" si="1149"/>
        <v>5980</v>
      </c>
      <c r="N2242">
        <f t="shared" si="1150"/>
        <v>520</v>
      </c>
    </row>
    <row r="2243" spans="1:14" x14ac:dyDescent="0.25">
      <c r="A2243">
        <v>87</v>
      </c>
      <c r="B2243" s="1">
        <v>44021</v>
      </c>
      <c r="C2243" t="s">
        <v>348</v>
      </c>
      <c r="D2243" t="s">
        <v>25</v>
      </c>
      <c r="F2243" t="s">
        <v>337</v>
      </c>
      <c r="G2243">
        <v>2</v>
      </c>
      <c r="H2243">
        <v>60</v>
      </c>
      <c r="I2243">
        <f t="shared" si="1151"/>
        <v>120</v>
      </c>
      <c r="J2243" t="s">
        <v>165</v>
      </c>
      <c r="K2243">
        <v>33</v>
      </c>
      <c r="M2243">
        <f t="shared" si="1149"/>
        <v>66</v>
      </c>
      <c r="N2243">
        <f t="shared" si="1150"/>
        <v>54</v>
      </c>
    </row>
    <row r="2244" spans="1:14" x14ac:dyDescent="0.25">
      <c r="A2244">
        <v>88</v>
      </c>
      <c r="B2244" s="1">
        <v>44021</v>
      </c>
      <c r="C2244" t="s">
        <v>348</v>
      </c>
      <c r="D2244" t="s">
        <v>26</v>
      </c>
      <c r="F2244" t="s">
        <v>47</v>
      </c>
      <c r="G2244">
        <v>6.57</v>
      </c>
      <c r="H2244">
        <v>380</v>
      </c>
      <c r="I2244">
        <f t="shared" si="1151"/>
        <v>2496.6</v>
      </c>
      <c r="J2244" t="s">
        <v>99</v>
      </c>
      <c r="K2244">
        <v>261</v>
      </c>
      <c r="M2244">
        <f t="shared" si="1149"/>
        <v>1714.77</v>
      </c>
      <c r="N2244">
        <f t="shared" si="1150"/>
        <v>781.82999999999993</v>
      </c>
    </row>
    <row r="2245" spans="1:14" x14ac:dyDescent="0.25">
      <c r="A2245">
        <v>89</v>
      </c>
      <c r="B2245" s="1">
        <v>44022</v>
      </c>
      <c r="C2245" t="s">
        <v>348</v>
      </c>
      <c r="D2245" t="s">
        <v>15</v>
      </c>
      <c r="F2245" t="s">
        <v>28</v>
      </c>
      <c r="G2245">
        <v>20</v>
      </c>
      <c r="H2245">
        <v>240</v>
      </c>
      <c r="I2245">
        <f t="shared" si="1151"/>
        <v>4800</v>
      </c>
      <c r="J2245" t="s">
        <v>163</v>
      </c>
      <c r="K2245">
        <v>217</v>
      </c>
      <c r="M2245">
        <f t="shared" ref="M2245:M2308" si="1152">+IF(K2245=0,(""),(K2245*G2245))</f>
        <v>4340</v>
      </c>
      <c r="N2245">
        <f t="shared" ref="N2245:N2308" si="1153">+IF(K2245=0,(""),(I2245-M2245))</f>
        <v>460</v>
      </c>
    </row>
    <row r="2246" spans="1:14" x14ac:dyDescent="0.25">
      <c r="A2246">
        <v>90</v>
      </c>
      <c r="B2246" s="1">
        <v>44022</v>
      </c>
      <c r="C2246" t="s">
        <v>348</v>
      </c>
      <c r="D2246" t="s">
        <v>55</v>
      </c>
      <c r="F2246" t="s">
        <v>22</v>
      </c>
      <c r="G2246">
        <f>5/17</f>
        <v>0.29411764705882354</v>
      </c>
      <c r="H2246">
        <v>300</v>
      </c>
      <c r="I2246">
        <f t="shared" si="1151"/>
        <v>88.235294117647058</v>
      </c>
      <c r="J2246" t="s">
        <v>167</v>
      </c>
      <c r="K2246">
        <v>268</v>
      </c>
      <c r="M2246">
        <f t="shared" si="1152"/>
        <v>78.82352941176471</v>
      </c>
      <c r="N2246">
        <f t="shared" si="1153"/>
        <v>9.4117647058823479</v>
      </c>
    </row>
    <row r="2247" spans="1:14" x14ac:dyDescent="0.25">
      <c r="A2247">
        <v>91</v>
      </c>
      <c r="B2247" s="1">
        <v>44022</v>
      </c>
      <c r="C2247" t="s">
        <v>348</v>
      </c>
      <c r="D2247" t="s">
        <v>15</v>
      </c>
      <c r="F2247" t="s">
        <v>19</v>
      </c>
      <c r="G2247">
        <v>72</v>
      </c>
      <c r="H2247">
        <v>300</v>
      </c>
      <c r="I2247">
        <f t="shared" si="1151"/>
        <v>21600</v>
      </c>
      <c r="J2247" t="s">
        <v>167</v>
      </c>
      <c r="K2247">
        <v>268</v>
      </c>
      <c r="M2247">
        <f t="shared" si="1152"/>
        <v>19296</v>
      </c>
      <c r="N2247">
        <f t="shared" si="1153"/>
        <v>2304</v>
      </c>
    </row>
    <row r="2248" spans="1:14" x14ac:dyDescent="0.25">
      <c r="A2248">
        <v>92</v>
      </c>
      <c r="B2248" s="1">
        <v>44022</v>
      </c>
      <c r="C2248" t="s">
        <v>348</v>
      </c>
      <c r="D2248" t="s">
        <v>56</v>
      </c>
      <c r="F2248" t="s">
        <v>267</v>
      </c>
      <c r="G2248">
        <v>23</v>
      </c>
      <c r="H2248">
        <v>170</v>
      </c>
      <c r="I2248">
        <f t="shared" si="1151"/>
        <v>3910</v>
      </c>
      <c r="J2248" t="s">
        <v>163</v>
      </c>
      <c r="K2248">
        <v>123</v>
      </c>
      <c r="M2248">
        <f t="shared" si="1152"/>
        <v>2829</v>
      </c>
      <c r="N2248">
        <f t="shared" si="1153"/>
        <v>1081</v>
      </c>
    </row>
    <row r="2249" spans="1:14" x14ac:dyDescent="0.25">
      <c r="A2249">
        <v>93</v>
      </c>
      <c r="B2249" s="1">
        <v>44022</v>
      </c>
      <c r="C2249" t="s">
        <v>348</v>
      </c>
      <c r="D2249" t="s">
        <v>15</v>
      </c>
      <c r="F2249" t="s">
        <v>391</v>
      </c>
      <c r="G2249">
        <v>1</v>
      </c>
      <c r="H2249">
        <v>270</v>
      </c>
      <c r="I2249">
        <f t="shared" si="1151"/>
        <v>270</v>
      </c>
      <c r="J2249" t="s">
        <v>167</v>
      </c>
      <c r="K2249">
        <v>219</v>
      </c>
      <c r="M2249">
        <f t="shared" si="1152"/>
        <v>219</v>
      </c>
      <c r="N2249">
        <f t="shared" si="1153"/>
        <v>51</v>
      </c>
    </row>
    <row r="2250" spans="1:14" x14ac:dyDescent="0.25">
      <c r="A2250">
        <v>94</v>
      </c>
      <c r="B2250" s="1">
        <v>44022</v>
      </c>
      <c r="C2250" t="s">
        <v>348</v>
      </c>
      <c r="D2250" t="s">
        <v>15</v>
      </c>
      <c r="F2250" t="s">
        <v>356</v>
      </c>
      <c r="G2250">
        <v>2</v>
      </c>
      <c r="H2250">
        <v>240</v>
      </c>
      <c r="I2250">
        <f t="shared" si="1151"/>
        <v>480</v>
      </c>
      <c r="J2250" t="s">
        <v>167</v>
      </c>
      <c r="K2250">
        <v>207</v>
      </c>
      <c r="M2250">
        <f t="shared" si="1152"/>
        <v>414</v>
      </c>
      <c r="N2250">
        <f t="shared" si="1153"/>
        <v>66</v>
      </c>
    </row>
    <row r="2251" spans="1:14" x14ac:dyDescent="0.25">
      <c r="A2251">
        <v>95</v>
      </c>
      <c r="B2251" s="1">
        <v>44022</v>
      </c>
      <c r="C2251" t="s">
        <v>348</v>
      </c>
      <c r="D2251" t="s">
        <v>25</v>
      </c>
      <c r="F2251" t="s">
        <v>58</v>
      </c>
      <c r="G2251">
        <v>2</v>
      </c>
      <c r="H2251">
        <v>60</v>
      </c>
      <c r="I2251">
        <f t="shared" si="1151"/>
        <v>120</v>
      </c>
      <c r="J2251" t="s">
        <v>165</v>
      </c>
      <c r="K2251">
        <v>33</v>
      </c>
      <c r="M2251">
        <f t="shared" si="1152"/>
        <v>66</v>
      </c>
      <c r="N2251">
        <f t="shared" si="1153"/>
        <v>54</v>
      </c>
    </row>
    <row r="2252" spans="1:14" x14ac:dyDescent="0.25">
      <c r="A2252">
        <v>96</v>
      </c>
      <c r="B2252" s="1">
        <v>44022</v>
      </c>
      <c r="C2252" t="s">
        <v>348</v>
      </c>
      <c r="D2252" t="s">
        <v>55</v>
      </c>
      <c r="F2252" t="s">
        <v>22</v>
      </c>
      <c r="G2252">
        <v>4.5</v>
      </c>
      <c r="H2252">
        <v>300</v>
      </c>
      <c r="I2252">
        <f t="shared" si="1151"/>
        <v>1350</v>
      </c>
      <c r="J2252" t="s">
        <v>167</v>
      </c>
      <c r="K2252">
        <v>268</v>
      </c>
      <c r="M2252">
        <f t="shared" si="1152"/>
        <v>1206</v>
      </c>
      <c r="N2252">
        <f t="shared" si="1153"/>
        <v>144</v>
      </c>
    </row>
    <row r="2253" spans="1:14" x14ac:dyDescent="0.25">
      <c r="A2253">
        <v>97</v>
      </c>
      <c r="B2253" s="1">
        <v>44022</v>
      </c>
      <c r="C2253" t="s">
        <v>348</v>
      </c>
      <c r="D2253" t="s">
        <v>25</v>
      </c>
      <c r="F2253" t="s">
        <v>71</v>
      </c>
      <c r="G2253">
        <v>4</v>
      </c>
      <c r="H2253">
        <v>60</v>
      </c>
      <c r="I2253">
        <f t="shared" si="1151"/>
        <v>240</v>
      </c>
      <c r="J2253" t="s">
        <v>165</v>
      </c>
      <c r="K2253">
        <v>33</v>
      </c>
      <c r="M2253">
        <f t="shared" si="1152"/>
        <v>132</v>
      </c>
      <c r="N2253">
        <f t="shared" si="1153"/>
        <v>108</v>
      </c>
    </row>
    <row r="2254" spans="1:14" x14ac:dyDescent="0.25">
      <c r="A2254">
        <v>98</v>
      </c>
      <c r="B2254" s="1">
        <v>44022</v>
      </c>
      <c r="C2254" t="s">
        <v>348</v>
      </c>
      <c r="D2254" t="s">
        <v>15</v>
      </c>
      <c r="F2254" t="s">
        <v>28</v>
      </c>
      <c r="G2254">
        <v>7.65</v>
      </c>
      <c r="H2254">
        <v>240</v>
      </c>
      <c r="I2254">
        <f t="shared" si="1151"/>
        <v>1836</v>
      </c>
      <c r="J2254" t="s">
        <v>163</v>
      </c>
      <c r="K2254">
        <v>217</v>
      </c>
      <c r="M2254">
        <f t="shared" si="1152"/>
        <v>1660.0500000000002</v>
      </c>
      <c r="N2254">
        <f t="shared" si="1153"/>
        <v>175.94999999999982</v>
      </c>
    </row>
    <row r="2255" spans="1:14" x14ac:dyDescent="0.25">
      <c r="A2255">
        <v>99</v>
      </c>
      <c r="B2255" s="1">
        <v>44023</v>
      </c>
      <c r="C2255" t="s">
        <v>348</v>
      </c>
      <c r="D2255" t="s">
        <v>92</v>
      </c>
      <c r="F2255" t="s">
        <v>342</v>
      </c>
      <c r="G2255">
        <v>1</v>
      </c>
      <c r="H2255">
        <v>230</v>
      </c>
      <c r="I2255">
        <f t="shared" si="1151"/>
        <v>230</v>
      </c>
      <c r="J2255" t="s">
        <v>166</v>
      </c>
      <c r="M2255" t="str">
        <f t="shared" si="1152"/>
        <v/>
      </c>
      <c r="N2255" t="str">
        <f t="shared" si="1153"/>
        <v/>
      </c>
    </row>
    <row r="2256" spans="1:14" x14ac:dyDescent="0.25">
      <c r="A2256">
        <v>100</v>
      </c>
      <c r="B2256" s="1">
        <v>44023</v>
      </c>
      <c r="C2256" t="s">
        <v>348</v>
      </c>
      <c r="D2256" t="s">
        <v>25</v>
      </c>
      <c r="F2256" t="s">
        <v>172</v>
      </c>
      <c r="G2256">
        <v>2</v>
      </c>
      <c r="H2256">
        <v>100</v>
      </c>
      <c r="I2256">
        <f t="shared" si="1151"/>
        <v>200</v>
      </c>
      <c r="J2256" t="s">
        <v>163</v>
      </c>
      <c r="K2256">
        <v>70</v>
      </c>
      <c r="M2256">
        <f t="shared" si="1152"/>
        <v>140</v>
      </c>
      <c r="N2256">
        <f t="shared" si="1153"/>
        <v>60</v>
      </c>
    </row>
    <row r="2257" spans="1:14" x14ac:dyDescent="0.25">
      <c r="A2257">
        <v>101</v>
      </c>
      <c r="B2257" s="1">
        <v>44023</v>
      </c>
      <c r="C2257" t="s">
        <v>348</v>
      </c>
      <c r="D2257" t="s">
        <v>26</v>
      </c>
      <c r="F2257" t="s">
        <v>392</v>
      </c>
      <c r="G2257">
        <f>5/4*1.44</f>
        <v>1.7999999999999998</v>
      </c>
      <c r="H2257">
        <v>425</v>
      </c>
      <c r="I2257">
        <f t="shared" si="1151"/>
        <v>764.99999999999989</v>
      </c>
      <c r="J2257" t="s">
        <v>99</v>
      </c>
      <c r="K2257">
        <v>360</v>
      </c>
      <c r="M2257">
        <f t="shared" si="1152"/>
        <v>647.99999999999989</v>
      </c>
      <c r="N2257">
        <f t="shared" si="1153"/>
        <v>117</v>
      </c>
    </row>
    <row r="2258" spans="1:14" x14ac:dyDescent="0.25">
      <c r="A2258">
        <v>102</v>
      </c>
      <c r="B2258" s="1">
        <v>44023</v>
      </c>
      <c r="C2258" t="s">
        <v>348</v>
      </c>
      <c r="D2258" t="s">
        <v>15</v>
      </c>
      <c r="F2258" t="s">
        <v>295</v>
      </c>
      <c r="G2258">
        <f>10/8</f>
        <v>1.25</v>
      </c>
      <c r="H2258">
        <v>280</v>
      </c>
      <c r="I2258">
        <f t="shared" si="1151"/>
        <v>350</v>
      </c>
      <c r="J2258" t="s">
        <v>163</v>
      </c>
      <c r="K2258">
        <v>200</v>
      </c>
      <c r="M2258">
        <f t="shared" si="1152"/>
        <v>250</v>
      </c>
      <c r="N2258">
        <f t="shared" si="1153"/>
        <v>100</v>
      </c>
    </row>
    <row r="2259" spans="1:14" x14ac:dyDescent="0.25">
      <c r="A2259">
        <v>103</v>
      </c>
      <c r="B2259" s="1">
        <v>44023</v>
      </c>
      <c r="C2259" t="s">
        <v>348</v>
      </c>
      <c r="D2259" t="s">
        <v>92</v>
      </c>
      <c r="F2259" t="s">
        <v>380</v>
      </c>
      <c r="G2259">
        <v>1</v>
      </c>
      <c r="H2259">
        <v>275</v>
      </c>
      <c r="I2259">
        <f t="shared" si="1151"/>
        <v>275</v>
      </c>
      <c r="J2259" t="s">
        <v>198</v>
      </c>
      <c r="M2259" t="str">
        <f t="shared" si="1152"/>
        <v/>
      </c>
      <c r="N2259" t="str">
        <f t="shared" si="1153"/>
        <v/>
      </c>
    </row>
    <row r="2260" spans="1:14" x14ac:dyDescent="0.25">
      <c r="A2260">
        <v>104</v>
      </c>
      <c r="B2260" s="1">
        <v>44023</v>
      </c>
      <c r="C2260" t="s">
        <v>348</v>
      </c>
      <c r="D2260" t="s">
        <v>25</v>
      </c>
      <c r="F2260" t="s">
        <v>130</v>
      </c>
      <c r="G2260">
        <v>1</v>
      </c>
      <c r="H2260">
        <v>60</v>
      </c>
      <c r="I2260">
        <f t="shared" si="1151"/>
        <v>60</v>
      </c>
      <c r="J2260" t="s">
        <v>165</v>
      </c>
      <c r="K2260">
        <v>33</v>
      </c>
      <c r="M2260">
        <f t="shared" si="1152"/>
        <v>33</v>
      </c>
      <c r="N2260">
        <f t="shared" si="1153"/>
        <v>27</v>
      </c>
    </row>
    <row r="2261" spans="1:14" x14ac:dyDescent="0.25">
      <c r="A2261">
        <v>105</v>
      </c>
      <c r="B2261" s="1">
        <v>44023</v>
      </c>
      <c r="C2261" t="s">
        <v>348</v>
      </c>
      <c r="D2261" t="s">
        <v>68</v>
      </c>
      <c r="F2261" t="s">
        <v>393</v>
      </c>
      <c r="G2261">
        <v>2</v>
      </c>
      <c r="H2261">
        <v>60</v>
      </c>
      <c r="I2261">
        <f t="shared" si="1151"/>
        <v>120</v>
      </c>
      <c r="J2261" t="s">
        <v>395</v>
      </c>
      <c r="M2261" t="str">
        <f t="shared" si="1152"/>
        <v/>
      </c>
      <c r="N2261" t="str">
        <f t="shared" si="1153"/>
        <v/>
      </c>
    </row>
    <row r="2262" spans="1:14" x14ac:dyDescent="0.25">
      <c r="A2262">
        <v>106</v>
      </c>
      <c r="B2262" s="1">
        <v>44023</v>
      </c>
      <c r="C2262" t="s">
        <v>348</v>
      </c>
      <c r="D2262" t="s">
        <v>15</v>
      </c>
      <c r="F2262" t="s">
        <v>20</v>
      </c>
      <c r="G2262">
        <v>10</v>
      </c>
      <c r="H2262">
        <v>250</v>
      </c>
      <c r="I2262">
        <f t="shared" si="1151"/>
        <v>2500</v>
      </c>
      <c r="J2262" t="s">
        <v>163</v>
      </c>
      <c r="K2262">
        <v>230</v>
      </c>
      <c r="M2262">
        <f t="shared" si="1152"/>
        <v>2300</v>
      </c>
      <c r="N2262">
        <f t="shared" si="1153"/>
        <v>200</v>
      </c>
    </row>
    <row r="2263" spans="1:14" x14ac:dyDescent="0.25">
      <c r="A2263">
        <v>107</v>
      </c>
      <c r="B2263" s="1">
        <v>44023</v>
      </c>
      <c r="C2263" t="s">
        <v>348</v>
      </c>
      <c r="D2263" t="s">
        <v>15</v>
      </c>
      <c r="F2263" t="s">
        <v>204</v>
      </c>
      <c r="G2263">
        <f>13/9</f>
        <v>1.4444444444444444</v>
      </c>
      <c r="H2263">
        <v>300</v>
      </c>
      <c r="I2263">
        <f t="shared" si="1151"/>
        <v>433.33333333333331</v>
      </c>
      <c r="J2263" t="s">
        <v>167</v>
      </c>
      <c r="K2263">
        <v>268</v>
      </c>
      <c r="M2263">
        <f t="shared" si="1152"/>
        <v>387.11111111111109</v>
      </c>
      <c r="N2263">
        <f t="shared" si="1153"/>
        <v>46.222222222222229</v>
      </c>
    </row>
    <row r="2264" spans="1:14" x14ac:dyDescent="0.25">
      <c r="A2264">
        <v>108</v>
      </c>
      <c r="B2264" s="1">
        <v>44023</v>
      </c>
      <c r="C2264" t="s">
        <v>348</v>
      </c>
      <c r="D2264" t="s">
        <v>70</v>
      </c>
      <c r="F2264" t="s">
        <v>191</v>
      </c>
      <c r="G2264">
        <v>1</v>
      </c>
      <c r="H2264">
        <v>1950</v>
      </c>
      <c r="I2264">
        <f t="shared" si="1151"/>
        <v>1950</v>
      </c>
      <c r="J2264" t="s">
        <v>167</v>
      </c>
      <c r="K2264">
        <v>1655</v>
      </c>
      <c r="M2264">
        <f t="shared" si="1152"/>
        <v>1655</v>
      </c>
      <c r="N2264">
        <f t="shared" si="1153"/>
        <v>295</v>
      </c>
    </row>
    <row r="2265" spans="1:14" x14ac:dyDescent="0.25">
      <c r="A2265">
        <v>109</v>
      </c>
      <c r="B2265" s="1">
        <v>44023</v>
      </c>
      <c r="C2265" t="s">
        <v>348</v>
      </c>
      <c r="D2265" t="s">
        <v>70</v>
      </c>
      <c r="F2265" t="s">
        <v>152</v>
      </c>
      <c r="G2265">
        <v>1</v>
      </c>
      <c r="H2265">
        <v>85</v>
      </c>
      <c r="I2265">
        <f t="shared" ref="I2265:I2328" si="1154">+G2265*H2265</f>
        <v>85</v>
      </c>
      <c r="J2265" t="s">
        <v>163</v>
      </c>
      <c r="K2265">
        <v>70</v>
      </c>
      <c r="M2265">
        <f t="shared" si="1152"/>
        <v>70</v>
      </c>
      <c r="N2265">
        <f t="shared" si="1153"/>
        <v>15</v>
      </c>
    </row>
    <row r="2266" spans="1:14" x14ac:dyDescent="0.25">
      <c r="A2266">
        <v>110</v>
      </c>
      <c r="B2266" s="1">
        <v>44023</v>
      </c>
      <c r="C2266" t="s">
        <v>348</v>
      </c>
      <c r="D2266" t="s">
        <v>55</v>
      </c>
      <c r="F2266" t="s">
        <v>22</v>
      </c>
      <c r="G2266">
        <v>1</v>
      </c>
      <c r="H2266">
        <v>300</v>
      </c>
      <c r="I2266">
        <f t="shared" si="1154"/>
        <v>300</v>
      </c>
      <c r="J2266" t="s">
        <v>167</v>
      </c>
      <c r="K2266">
        <v>268</v>
      </c>
      <c r="M2266">
        <f t="shared" si="1152"/>
        <v>268</v>
      </c>
      <c r="N2266">
        <f t="shared" si="1153"/>
        <v>32</v>
      </c>
    </row>
    <row r="2267" spans="1:14" x14ac:dyDescent="0.25">
      <c r="A2267">
        <v>111</v>
      </c>
      <c r="B2267" s="1">
        <v>44023</v>
      </c>
      <c r="C2267" t="s">
        <v>348</v>
      </c>
      <c r="D2267" t="s">
        <v>25</v>
      </c>
      <c r="F2267" t="s">
        <v>57</v>
      </c>
      <c r="G2267">
        <v>1</v>
      </c>
      <c r="H2267">
        <v>60</v>
      </c>
      <c r="I2267">
        <f t="shared" si="1154"/>
        <v>60</v>
      </c>
      <c r="J2267" t="s">
        <v>165</v>
      </c>
      <c r="K2267">
        <v>33</v>
      </c>
      <c r="M2267">
        <f t="shared" si="1152"/>
        <v>33</v>
      </c>
      <c r="N2267">
        <f t="shared" si="1153"/>
        <v>27</v>
      </c>
    </row>
    <row r="2268" spans="1:14" x14ac:dyDescent="0.25">
      <c r="A2268">
        <v>112</v>
      </c>
      <c r="B2268" s="1">
        <v>44023</v>
      </c>
      <c r="C2268" t="s">
        <v>348</v>
      </c>
      <c r="D2268" t="s">
        <v>26</v>
      </c>
      <c r="F2268" t="s">
        <v>144</v>
      </c>
      <c r="G2268">
        <v>10</v>
      </c>
      <c r="H2268">
        <v>425</v>
      </c>
      <c r="I2268">
        <f t="shared" si="1154"/>
        <v>4250</v>
      </c>
      <c r="J2268" t="s">
        <v>99</v>
      </c>
      <c r="K2268">
        <v>360</v>
      </c>
      <c r="M2268">
        <f t="shared" si="1152"/>
        <v>3600</v>
      </c>
      <c r="N2268">
        <f t="shared" si="1153"/>
        <v>650</v>
      </c>
    </row>
    <row r="2269" spans="1:14" x14ac:dyDescent="0.25">
      <c r="A2269">
        <v>113</v>
      </c>
      <c r="B2269" s="1">
        <v>44023</v>
      </c>
      <c r="C2269" t="s">
        <v>348</v>
      </c>
      <c r="D2269" t="s">
        <v>15</v>
      </c>
      <c r="F2269" t="s">
        <v>35</v>
      </c>
      <c r="G2269">
        <v>7.14</v>
      </c>
      <c r="H2269">
        <v>280</v>
      </c>
      <c r="I2269">
        <f t="shared" si="1154"/>
        <v>1999.1999999999998</v>
      </c>
      <c r="J2269" t="s">
        <v>163</v>
      </c>
      <c r="K2269">
        <v>240</v>
      </c>
      <c r="M2269">
        <f t="shared" si="1152"/>
        <v>1713.6</v>
      </c>
      <c r="N2269">
        <f t="shared" si="1153"/>
        <v>285.59999999999991</v>
      </c>
    </row>
    <row r="2270" spans="1:14" x14ac:dyDescent="0.25">
      <c r="A2270">
        <v>114</v>
      </c>
      <c r="B2270" s="1">
        <v>44025</v>
      </c>
      <c r="C2270" t="s">
        <v>348</v>
      </c>
      <c r="D2270" t="s">
        <v>15</v>
      </c>
      <c r="F2270" t="s">
        <v>153</v>
      </c>
      <c r="G2270">
        <v>1.5</v>
      </c>
      <c r="H2270">
        <v>290</v>
      </c>
      <c r="I2270">
        <f t="shared" si="1154"/>
        <v>435</v>
      </c>
      <c r="J2270" t="s">
        <v>163</v>
      </c>
      <c r="K2270">
        <v>220</v>
      </c>
      <c r="M2270">
        <f t="shared" si="1152"/>
        <v>330</v>
      </c>
      <c r="N2270">
        <f t="shared" si="1153"/>
        <v>105</v>
      </c>
    </row>
    <row r="2271" spans="1:14" x14ac:dyDescent="0.25">
      <c r="A2271">
        <v>115</v>
      </c>
      <c r="B2271" s="1">
        <v>44025</v>
      </c>
      <c r="C2271" t="s">
        <v>348</v>
      </c>
      <c r="D2271" t="s">
        <v>25</v>
      </c>
      <c r="F2271" t="s">
        <v>71</v>
      </c>
      <c r="G2271">
        <v>2</v>
      </c>
      <c r="H2271">
        <v>60</v>
      </c>
      <c r="I2271">
        <f t="shared" si="1154"/>
        <v>120</v>
      </c>
      <c r="J2271" t="s">
        <v>165</v>
      </c>
      <c r="K2271">
        <v>33</v>
      </c>
      <c r="M2271">
        <f t="shared" si="1152"/>
        <v>66</v>
      </c>
      <c r="N2271">
        <f t="shared" si="1153"/>
        <v>54</v>
      </c>
    </row>
    <row r="2272" spans="1:14" x14ac:dyDescent="0.25">
      <c r="A2272">
        <v>116</v>
      </c>
      <c r="B2272" s="1">
        <v>44025</v>
      </c>
      <c r="C2272" t="s">
        <v>348</v>
      </c>
      <c r="D2272" t="s">
        <v>15</v>
      </c>
      <c r="F2272" t="s">
        <v>252</v>
      </c>
      <c r="G2272">
        <v>1.53</v>
      </c>
      <c r="H2272">
        <v>280</v>
      </c>
      <c r="I2272">
        <f t="shared" si="1154"/>
        <v>428.40000000000003</v>
      </c>
      <c r="J2272" t="s">
        <v>163</v>
      </c>
      <c r="K2272">
        <v>247</v>
      </c>
      <c r="M2272">
        <f t="shared" si="1152"/>
        <v>377.91</v>
      </c>
      <c r="N2272">
        <f t="shared" si="1153"/>
        <v>50.490000000000009</v>
      </c>
    </row>
    <row r="2273" spans="1:14" x14ac:dyDescent="0.25">
      <c r="A2273">
        <v>117</v>
      </c>
      <c r="B2273" s="1">
        <v>44025</v>
      </c>
      <c r="C2273" t="s">
        <v>348</v>
      </c>
      <c r="D2273" t="s">
        <v>15</v>
      </c>
      <c r="F2273" t="s">
        <v>97</v>
      </c>
      <c r="G2273">
        <v>6</v>
      </c>
      <c r="H2273">
        <v>240</v>
      </c>
      <c r="I2273">
        <f t="shared" si="1154"/>
        <v>1440</v>
      </c>
      <c r="J2273" t="s">
        <v>167</v>
      </c>
      <c r="K2273">
        <v>207</v>
      </c>
      <c r="M2273">
        <f t="shared" si="1152"/>
        <v>1242</v>
      </c>
      <c r="N2273">
        <f t="shared" si="1153"/>
        <v>198</v>
      </c>
    </row>
    <row r="2274" spans="1:14" x14ac:dyDescent="0.25">
      <c r="A2274">
        <v>118</v>
      </c>
      <c r="B2274" s="1">
        <v>44025</v>
      </c>
      <c r="C2274" t="s">
        <v>348</v>
      </c>
      <c r="D2274" t="s">
        <v>15</v>
      </c>
      <c r="F2274" t="s">
        <v>29</v>
      </c>
      <c r="G2274">
        <v>18</v>
      </c>
      <c r="H2274">
        <v>240</v>
      </c>
      <c r="I2274">
        <f t="shared" si="1154"/>
        <v>4320</v>
      </c>
      <c r="J2274" t="s">
        <v>163</v>
      </c>
      <c r="K2274">
        <v>210</v>
      </c>
      <c r="M2274">
        <f t="shared" si="1152"/>
        <v>3780</v>
      </c>
      <c r="N2274">
        <f t="shared" si="1153"/>
        <v>540</v>
      </c>
    </row>
    <row r="2275" spans="1:14" x14ac:dyDescent="0.25">
      <c r="A2275">
        <v>119</v>
      </c>
      <c r="B2275" s="1">
        <v>44025</v>
      </c>
      <c r="C2275" t="s">
        <v>348</v>
      </c>
      <c r="D2275" t="s">
        <v>55</v>
      </c>
      <c r="F2275" t="s">
        <v>228</v>
      </c>
      <c r="G2275">
        <v>2</v>
      </c>
      <c r="H2275">
        <v>300</v>
      </c>
      <c r="I2275">
        <f t="shared" si="1154"/>
        <v>600</v>
      </c>
      <c r="J2275" t="s">
        <v>167</v>
      </c>
      <c r="K2275">
        <v>268</v>
      </c>
      <c r="M2275">
        <f t="shared" si="1152"/>
        <v>536</v>
      </c>
      <c r="N2275">
        <f t="shared" si="1153"/>
        <v>64</v>
      </c>
    </row>
    <row r="2276" spans="1:14" x14ac:dyDescent="0.25">
      <c r="A2276">
        <v>120</v>
      </c>
      <c r="B2276" s="1">
        <v>44025</v>
      </c>
      <c r="C2276" t="s">
        <v>348</v>
      </c>
      <c r="D2276" t="s">
        <v>44</v>
      </c>
      <c r="F2276" t="s">
        <v>138</v>
      </c>
      <c r="G2276">
        <v>1</v>
      </c>
      <c r="H2276">
        <v>35</v>
      </c>
      <c r="I2276">
        <f t="shared" si="1154"/>
        <v>35</v>
      </c>
      <c r="J2276" t="s">
        <v>166</v>
      </c>
      <c r="K2276">
        <v>29</v>
      </c>
      <c r="M2276">
        <f t="shared" si="1152"/>
        <v>29</v>
      </c>
      <c r="N2276">
        <f t="shared" si="1153"/>
        <v>6</v>
      </c>
    </row>
    <row r="2277" spans="1:14" x14ac:dyDescent="0.25">
      <c r="A2277">
        <v>121</v>
      </c>
      <c r="B2277" s="1">
        <v>44025</v>
      </c>
      <c r="C2277" t="s">
        <v>348</v>
      </c>
      <c r="D2277" t="s">
        <v>25</v>
      </c>
      <c r="F2277" t="s">
        <v>137</v>
      </c>
      <c r="G2277">
        <v>1</v>
      </c>
      <c r="H2277">
        <v>60</v>
      </c>
      <c r="I2277">
        <f t="shared" si="1154"/>
        <v>60</v>
      </c>
      <c r="J2277" t="s">
        <v>165</v>
      </c>
      <c r="K2277">
        <v>33</v>
      </c>
      <c r="M2277">
        <f t="shared" si="1152"/>
        <v>33</v>
      </c>
      <c r="N2277">
        <f t="shared" si="1153"/>
        <v>27</v>
      </c>
    </row>
    <row r="2278" spans="1:14" x14ac:dyDescent="0.25">
      <c r="A2278">
        <v>122</v>
      </c>
      <c r="B2278" s="1">
        <v>44025</v>
      </c>
      <c r="C2278" t="s">
        <v>348</v>
      </c>
      <c r="D2278" t="s">
        <v>15</v>
      </c>
      <c r="F2278" t="s">
        <v>20</v>
      </c>
      <c r="G2278">
        <f>9/8*1.54</f>
        <v>1.7324999999999999</v>
      </c>
      <c r="H2278">
        <v>250</v>
      </c>
      <c r="I2278">
        <f t="shared" si="1154"/>
        <v>433.125</v>
      </c>
      <c r="J2278" t="s">
        <v>163</v>
      </c>
      <c r="K2278">
        <v>230</v>
      </c>
      <c r="M2278">
        <f t="shared" si="1152"/>
        <v>398.47499999999997</v>
      </c>
      <c r="N2278">
        <f t="shared" si="1153"/>
        <v>34.650000000000034</v>
      </c>
    </row>
    <row r="2279" spans="1:14" x14ac:dyDescent="0.25">
      <c r="A2279">
        <v>123</v>
      </c>
      <c r="B2279" s="1">
        <v>44025</v>
      </c>
      <c r="C2279" t="s">
        <v>348</v>
      </c>
      <c r="D2279" t="s">
        <v>55</v>
      </c>
      <c r="F2279" t="s">
        <v>22</v>
      </c>
      <c r="G2279">
        <v>2</v>
      </c>
      <c r="H2279">
        <v>300</v>
      </c>
      <c r="I2279">
        <f t="shared" si="1154"/>
        <v>600</v>
      </c>
      <c r="J2279" t="s">
        <v>167</v>
      </c>
      <c r="K2279">
        <v>268</v>
      </c>
      <c r="M2279">
        <f t="shared" si="1152"/>
        <v>536</v>
      </c>
      <c r="N2279">
        <f t="shared" si="1153"/>
        <v>64</v>
      </c>
    </row>
    <row r="2280" spans="1:14" x14ac:dyDescent="0.25">
      <c r="A2280">
        <v>124</v>
      </c>
      <c r="B2280" s="1">
        <v>44025</v>
      </c>
      <c r="C2280" t="s">
        <v>348</v>
      </c>
      <c r="D2280" t="s">
        <v>15</v>
      </c>
      <c r="F2280" t="s">
        <v>29</v>
      </c>
      <c r="G2280">
        <v>13.5</v>
      </c>
      <c r="H2280">
        <v>220</v>
      </c>
      <c r="I2280">
        <f t="shared" si="1154"/>
        <v>2970</v>
      </c>
      <c r="J2280" t="s">
        <v>163</v>
      </c>
      <c r="K2280">
        <v>210</v>
      </c>
      <c r="M2280">
        <f t="shared" si="1152"/>
        <v>2835</v>
      </c>
      <c r="N2280">
        <f t="shared" si="1153"/>
        <v>135</v>
      </c>
    </row>
    <row r="2281" spans="1:14" x14ac:dyDescent="0.25">
      <c r="A2281">
        <v>125</v>
      </c>
      <c r="B2281" s="1">
        <v>44025</v>
      </c>
      <c r="C2281" t="s">
        <v>348</v>
      </c>
      <c r="D2281" t="s">
        <v>15</v>
      </c>
      <c r="F2281" t="s">
        <v>313</v>
      </c>
      <c r="G2281">
        <v>7</v>
      </c>
      <c r="H2281">
        <v>230</v>
      </c>
      <c r="I2281">
        <f t="shared" si="1154"/>
        <v>1610</v>
      </c>
      <c r="J2281" t="s">
        <v>167</v>
      </c>
      <c r="K2281">
        <v>207</v>
      </c>
      <c r="M2281">
        <f t="shared" si="1152"/>
        <v>1449</v>
      </c>
      <c r="N2281">
        <f t="shared" si="1153"/>
        <v>161</v>
      </c>
    </row>
    <row r="2282" spans="1:14" x14ac:dyDescent="0.25">
      <c r="A2282">
        <v>126</v>
      </c>
      <c r="B2282" s="1">
        <v>44025</v>
      </c>
      <c r="C2282" t="s">
        <v>348</v>
      </c>
      <c r="D2282" t="s">
        <v>56</v>
      </c>
      <c r="F2282" t="s">
        <v>267</v>
      </c>
      <c r="G2282">
        <v>5</v>
      </c>
      <c r="H2282">
        <v>170</v>
      </c>
      <c r="I2282">
        <f t="shared" si="1154"/>
        <v>850</v>
      </c>
      <c r="J2282" t="s">
        <v>163</v>
      </c>
      <c r="K2282">
        <v>123</v>
      </c>
      <c r="M2282">
        <f t="shared" si="1152"/>
        <v>615</v>
      </c>
      <c r="N2282">
        <f t="shared" si="1153"/>
        <v>235</v>
      </c>
    </row>
    <row r="2283" spans="1:14" x14ac:dyDescent="0.25">
      <c r="A2283">
        <v>127</v>
      </c>
      <c r="B2283" s="1">
        <v>44025</v>
      </c>
      <c r="C2283" t="s">
        <v>348</v>
      </c>
      <c r="D2283" t="s">
        <v>15</v>
      </c>
      <c r="F2283" t="s">
        <v>20</v>
      </c>
      <c r="G2283">
        <v>10</v>
      </c>
      <c r="H2283">
        <v>250</v>
      </c>
      <c r="I2283">
        <f t="shared" si="1154"/>
        <v>2500</v>
      </c>
      <c r="J2283" t="s">
        <v>163</v>
      </c>
      <c r="K2283">
        <v>230</v>
      </c>
      <c r="M2283">
        <f t="shared" si="1152"/>
        <v>2300</v>
      </c>
      <c r="N2283">
        <f t="shared" si="1153"/>
        <v>200</v>
      </c>
    </row>
    <row r="2284" spans="1:14" x14ac:dyDescent="0.25">
      <c r="A2284">
        <v>128</v>
      </c>
      <c r="B2284" s="1">
        <v>44025</v>
      </c>
      <c r="C2284" t="s">
        <v>348</v>
      </c>
      <c r="D2284" t="s">
        <v>15</v>
      </c>
      <c r="F2284" t="s">
        <v>35</v>
      </c>
      <c r="G2284">
        <v>3.44</v>
      </c>
      <c r="H2284">
        <v>290</v>
      </c>
      <c r="I2284">
        <f t="shared" si="1154"/>
        <v>997.6</v>
      </c>
      <c r="J2284" t="s">
        <v>163</v>
      </c>
      <c r="K2284">
        <v>240</v>
      </c>
      <c r="M2284">
        <f t="shared" si="1152"/>
        <v>825.6</v>
      </c>
      <c r="N2284">
        <f t="shared" si="1153"/>
        <v>172</v>
      </c>
    </row>
    <row r="2285" spans="1:14" x14ac:dyDescent="0.25">
      <c r="A2285">
        <v>129</v>
      </c>
      <c r="B2285" s="1">
        <v>44026</v>
      </c>
      <c r="C2285" t="s">
        <v>348</v>
      </c>
      <c r="D2285" t="s">
        <v>26</v>
      </c>
      <c r="F2285" t="s">
        <v>47</v>
      </c>
      <c r="G2285">
        <v>2.63</v>
      </c>
      <c r="H2285">
        <v>380</v>
      </c>
      <c r="I2285">
        <f t="shared" si="1154"/>
        <v>999.4</v>
      </c>
      <c r="J2285" t="s">
        <v>99</v>
      </c>
      <c r="K2285">
        <v>261</v>
      </c>
      <c r="M2285">
        <f t="shared" si="1152"/>
        <v>686.43</v>
      </c>
      <c r="N2285">
        <f t="shared" si="1153"/>
        <v>312.97000000000003</v>
      </c>
    </row>
    <row r="2286" spans="1:14" x14ac:dyDescent="0.25">
      <c r="A2286">
        <v>130</v>
      </c>
      <c r="B2286" s="1">
        <v>44026</v>
      </c>
      <c r="C2286" t="s">
        <v>348</v>
      </c>
      <c r="D2286" t="s">
        <v>15</v>
      </c>
      <c r="F2286" t="s">
        <v>35</v>
      </c>
      <c r="G2286">
        <v>3.57</v>
      </c>
      <c r="H2286">
        <v>280</v>
      </c>
      <c r="I2286">
        <f t="shared" si="1154"/>
        <v>999.59999999999991</v>
      </c>
      <c r="J2286" t="s">
        <v>163</v>
      </c>
      <c r="K2286">
        <v>240</v>
      </c>
      <c r="M2286">
        <f t="shared" si="1152"/>
        <v>856.8</v>
      </c>
      <c r="N2286">
        <f t="shared" si="1153"/>
        <v>142.79999999999995</v>
      </c>
    </row>
    <row r="2287" spans="1:14" x14ac:dyDescent="0.25">
      <c r="A2287">
        <v>131</v>
      </c>
      <c r="B2287" s="1">
        <v>44026</v>
      </c>
      <c r="C2287" t="s">
        <v>348</v>
      </c>
      <c r="D2287" t="s">
        <v>56</v>
      </c>
      <c r="F2287" t="s">
        <v>333</v>
      </c>
      <c r="G2287">
        <v>4</v>
      </c>
      <c r="H2287">
        <v>100</v>
      </c>
      <c r="I2287">
        <f t="shared" si="1154"/>
        <v>400</v>
      </c>
      <c r="J2287" t="s">
        <v>164</v>
      </c>
      <c r="K2287">
        <v>70</v>
      </c>
      <c r="M2287">
        <f t="shared" si="1152"/>
        <v>280</v>
      </c>
      <c r="N2287">
        <f t="shared" si="1153"/>
        <v>120</v>
      </c>
    </row>
    <row r="2288" spans="1:14" x14ac:dyDescent="0.25">
      <c r="A2288">
        <v>132</v>
      </c>
      <c r="B2288" s="1">
        <v>44026</v>
      </c>
      <c r="C2288" t="s">
        <v>348</v>
      </c>
      <c r="D2288" t="s">
        <v>25</v>
      </c>
      <c r="F2288" t="s">
        <v>130</v>
      </c>
      <c r="G2288">
        <v>1</v>
      </c>
      <c r="H2288">
        <v>60</v>
      </c>
      <c r="I2288">
        <f t="shared" si="1154"/>
        <v>60</v>
      </c>
      <c r="J2288" t="s">
        <v>165</v>
      </c>
      <c r="K2288">
        <v>33</v>
      </c>
      <c r="M2288">
        <f t="shared" si="1152"/>
        <v>33</v>
      </c>
      <c r="N2288">
        <f t="shared" si="1153"/>
        <v>27</v>
      </c>
    </row>
    <row r="2289" spans="1:14" x14ac:dyDescent="0.25">
      <c r="A2289">
        <v>133</v>
      </c>
      <c r="B2289" s="1">
        <v>44026</v>
      </c>
      <c r="C2289" t="s">
        <v>348</v>
      </c>
      <c r="D2289" t="s">
        <v>23</v>
      </c>
      <c r="F2289" t="s">
        <v>215</v>
      </c>
      <c r="G2289">
        <v>1</v>
      </c>
      <c r="H2289">
        <v>35</v>
      </c>
      <c r="I2289">
        <f t="shared" si="1154"/>
        <v>35</v>
      </c>
      <c r="J2289" t="s">
        <v>187</v>
      </c>
      <c r="K2289">
        <v>26</v>
      </c>
      <c r="M2289">
        <f t="shared" si="1152"/>
        <v>26</v>
      </c>
      <c r="N2289">
        <f t="shared" si="1153"/>
        <v>9</v>
      </c>
    </row>
    <row r="2290" spans="1:14" x14ac:dyDescent="0.25">
      <c r="A2290">
        <v>134</v>
      </c>
      <c r="B2290" s="1">
        <v>44026</v>
      </c>
      <c r="C2290" t="s">
        <v>348</v>
      </c>
      <c r="D2290" t="s">
        <v>15</v>
      </c>
      <c r="F2290" t="s">
        <v>20</v>
      </c>
      <c r="G2290">
        <v>10</v>
      </c>
      <c r="H2290">
        <v>250</v>
      </c>
      <c r="I2290">
        <f t="shared" si="1154"/>
        <v>2500</v>
      </c>
      <c r="J2290" t="s">
        <v>163</v>
      </c>
      <c r="K2290">
        <v>230</v>
      </c>
      <c r="M2290">
        <f t="shared" si="1152"/>
        <v>2300</v>
      </c>
      <c r="N2290">
        <f t="shared" si="1153"/>
        <v>200</v>
      </c>
    </row>
    <row r="2291" spans="1:14" x14ac:dyDescent="0.25">
      <c r="A2291">
        <v>135</v>
      </c>
      <c r="B2291" s="1">
        <v>44026</v>
      </c>
      <c r="C2291" t="s">
        <v>348</v>
      </c>
      <c r="D2291" t="s">
        <v>15</v>
      </c>
      <c r="F2291" t="s">
        <v>252</v>
      </c>
      <c r="G2291">
        <v>1</v>
      </c>
      <c r="H2291">
        <v>280</v>
      </c>
      <c r="I2291">
        <f t="shared" si="1154"/>
        <v>280</v>
      </c>
      <c r="J2291" t="s">
        <v>163</v>
      </c>
      <c r="K2291">
        <v>247</v>
      </c>
      <c r="M2291">
        <f t="shared" si="1152"/>
        <v>247</v>
      </c>
      <c r="N2291">
        <f t="shared" si="1153"/>
        <v>33</v>
      </c>
    </row>
    <row r="2292" spans="1:14" x14ac:dyDescent="0.25">
      <c r="A2292">
        <v>136</v>
      </c>
      <c r="B2292" s="1">
        <v>44026</v>
      </c>
      <c r="C2292" t="s">
        <v>348</v>
      </c>
      <c r="D2292" t="s">
        <v>15</v>
      </c>
      <c r="F2292" t="s">
        <v>312</v>
      </c>
      <c r="G2292">
        <v>1</v>
      </c>
      <c r="H2292">
        <v>300</v>
      </c>
      <c r="I2292">
        <f t="shared" si="1154"/>
        <v>300</v>
      </c>
      <c r="J2292" t="s">
        <v>167</v>
      </c>
      <c r="K2292">
        <v>268</v>
      </c>
      <c r="M2292">
        <f t="shared" si="1152"/>
        <v>268</v>
      </c>
      <c r="N2292">
        <f t="shared" si="1153"/>
        <v>32</v>
      </c>
    </row>
    <row r="2293" spans="1:14" x14ac:dyDescent="0.25">
      <c r="A2293">
        <v>137</v>
      </c>
      <c r="B2293" s="1">
        <v>44026</v>
      </c>
      <c r="C2293" t="s">
        <v>348</v>
      </c>
      <c r="D2293" t="s">
        <v>15</v>
      </c>
      <c r="F2293" t="s">
        <v>396</v>
      </c>
      <c r="G2293">
        <v>80</v>
      </c>
      <c r="H2293">
        <v>250</v>
      </c>
      <c r="I2293">
        <f t="shared" si="1154"/>
        <v>20000</v>
      </c>
      <c r="J2293" t="s">
        <v>163</v>
      </c>
      <c r="K2293">
        <v>248</v>
      </c>
      <c r="M2293">
        <f t="shared" si="1152"/>
        <v>19840</v>
      </c>
      <c r="N2293">
        <f t="shared" si="1153"/>
        <v>160</v>
      </c>
    </row>
    <row r="2294" spans="1:14" x14ac:dyDescent="0.25">
      <c r="A2294">
        <v>138</v>
      </c>
      <c r="B2294" s="1">
        <v>44026</v>
      </c>
      <c r="C2294" t="s">
        <v>348</v>
      </c>
      <c r="D2294" t="s">
        <v>55</v>
      </c>
      <c r="F2294" t="s">
        <v>22</v>
      </c>
      <c r="G2294">
        <v>3</v>
      </c>
      <c r="H2294">
        <v>295</v>
      </c>
      <c r="I2294">
        <f t="shared" si="1154"/>
        <v>885</v>
      </c>
      <c r="J2294" t="s">
        <v>167</v>
      </c>
      <c r="K2294">
        <v>268</v>
      </c>
      <c r="M2294">
        <f t="shared" si="1152"/>
        <v>804</v>
      </c>
      <c r="N2294">
        <f t="shared" si="1153"/>
        <v>81</v>
      </c>
    </row>
    <row r="2295" spans="1:14" x14ac:dyDescent="0.25">
      <c r="A2295">
        <v>139</v>
      </c>
      <c r="B2295" s="1">
        <v>44026</v>
      </c>
      <c r="C2295" t="s">
        <v>348</v>
      </c>
      <c r="D2295" t="s">
        <v>15</v>
      </c>
      <c r="F2295" t="s">
        <v>397</v>
      </c>
      <c r="G2295">
        <v>2</v>
      </c>
      <c r="H2295">
        <v>250</v>
      </c>
      <c r="I2295">
        <f t="shared" si="1154"/>
        <v>500</v>
      </c>
      <c r="J2295" t="s">
        <v>167</v>
      </c>
      <c r="K2295">
        <v>219</v>
      </c>
      <c r="M2295">
        <f t="shared" si="1152"/>
        <v>438</v>
      </c>
      <c r="N2295">
        <f t="shared" si="1153"/>
        <v>62</v>
      </c>
    </row>
    <row r="2296" spans="1:14" x14ac:dyDescent="0.25">
      <c r="A2296">
        <v>140</v>
      </c>
      <c r="B2296" s="1">
        <v>44026</v>
      </c>
      <c r="C2296" t="s">
        <v>348</v>
      </c>
      <c r="D2296" t="s">
        <v>55</v>
      </c>
      <c r="F2296" t="s">
        <v>398</v>
      </c>
      <c r="G2296">
        <v>17</v>
      </c>
      <c r="H2296">
        <v>270</v>
      </c>
      <c r="I2296">
        <f t="shared" si="1154"/>
        <v>4590</v>
      </c>
      <c r="J2296" t="s">
        <v>167</v>
      </c>
      <c r="K2296">
        <v>207</v>
      </c>
      <c r="M2296">
        <f t="shared" si="1152"/>
        <v>3519</v>
      </c>
      <c r="N2296">
        <f t="shared" si="1153"/>
        <v>1071</v>
      </c>
    </row>
    <row r="2297" spans="1:14" x14ac:dyDescent="0.25">
      <c r="A2297">
        <v>141</v>
      </c>
      <c r="B2297" s="1">
        <v>44026</v>
      </c>
      <c r="C2297" t="s">
        <v>348</v>
      </c>
      <c r="D2297" t="s">
        <v>24</v>
      </c>
      <c r="F2297" t="s">
        <v>24</v>
      </c>
      <c r="G2297">
        <v>3.2</v>
      </c>
      <c r="H2297">
        <v>100</v>
      </c>
      <c r="I2297">
        <f t="shared" si="1154"/>
        <v>320</v>
      </c>
      <c r="J2297" t="s">
        <v>186</v>
      </c>
      <c r="K2297">
        <v>68.22</v>
      </c>
      <c r="M2297">
        <f t="shared" si="1152"/>
        <v>218.304</v>
      </c>
      <c r="N2297">
        <f t="shared" si="1153"/>
        <v>101.696</v>
      </c>
    </row>
    <row r="2298" spans="1:14" x14ac:dyDescent="0.25">
      <c r="A2298">
        <v>142</v>
      </c>
      <c r="B2298" s="1">
        <v>44026</v>
      </c>
      <c r="C2298" t="s">
        <v>348</v>
      </c>
      <c r="D2298" t="s">
        <v>44</v>
      </c>
      <c r="F2298" t="s">
        <v>138</v>
      </c>
      <c r="G2298">
        <v>2</v>
      </c>
      <c r="H2298">
        <v>35</v>
      </c>
      <c r="I2298">
        <f t="shared" si="1154"/>
        <v>70</v>
      </c>
      <c r="J2298" t="s">
        <v>166</v>
      </c>
      <c r="K2298">
        <v>29</v>
      </c>
      <c r="M2298">
        <f t="shared" si="1152"/>
        <v>58</v>
      </c>
      <c r="N2298">
        <f t="shared" si="1153"/>
        <v>12</v>
      </c>
    </row>
    <row r="2299" spans="1:14" x14ac:dyDescent="0.25">
      <c r="A2299">
        <v>143</v>
      </c>
      <c r="B2299" s="1">
        <v>44026</v>
      </c>
      <c r="C2299" t="s">
        <v>348</v>
      </c>
      <c r="D2299" t="s">
        <v>15</v>
      </c>
      <c r="F2299" t="s">
        <v>252</v>
      </c>
      <c r="G2299">
        <f>1/9</f>
        <v>0.1111111111111111</v>
      </c>
      <c r="H2299">
        <v>280</v>
      </c>
      <c r="I2299">
        <f t="shared" si="1154"/>
        <v>31.111111111111111</v>
      </c>
      <c r="J2299" t="s">
        <v>163</v>
      </c>
      <c r="K2299">
        <v>247</v>
      </c>
      <c r="M2299">
        <f t="shared" si="1152"/>
        <v>27.444444444444443</v>
      </c>
      <c r="N2299">
        <f t="shared" si="1153"/>
        <v>3.6666666666666679</v>
      </c>
    </row>
    <row r="2300" spans="1:14" x14ac:dyDescent="0.25">
      <c r="A2300">
        <v>144</v>
      </c>
      <c r="B2300" s="1">
        <v>44026</v>
      </c>
      <c r="C2300" t="s">
        <v>348</v>
      </c>
      <c r="D2300" t="s">
        <v>56</v>
      </c>
      <c r="F2300" t="s">
        <v>267</v>
      </c>
      <c r="G2300">
        <v>2</v>
      </c>
      <c r="H2300">
        <v>170</v>
      </c>
      <c r="I2300">
        <f t="shared" si="1154"/>
        <v>340</v>
      </c>
      <c r="J2300" t="s">
        <v>163</v>
      </c>
      <c r="K2300">
        <v>123</v>
      </c>
      <c r="M2300">
        <f t="shared" si="1152"/>
        <v>246</v>
      </c>
      <c r="N2300">
        <f t="shared" si="1153"/>
        <v>94</v>
      </c>
    </row>
    <row r="2301" spans="1:14" x14ac:dyDescent="0.25">
      <c r="A2301">
        <v>145</v>
      </c>
      <c r="B2301" s="1">
        <v>44026</v>
      </c>
      <c r="C2301" t="s">
        <v>348</v>
      </c>
      <c r="D2301" t="s">
        <v>15</v>
      </c>
      <c r="F2301" t="s">
        <v>17</v>
      </c>
      <c r="G2301">
        <v>5</v>
      </c>
      <c r="H2301">
        <v>360</v>
      </c>
      <c r="I2301">
        <f t="shared" si="1154"/>
        <v>1800</v>
      </c>
      <c r="J2301" t="s">
        <v>167</v>
      </c>
      <c r="K2301">
        <v>306</v>
      </c>
      <c r="M2301">
        <f t="shared" si="1152"/>
        <v>1530</v>
      </c>
      <c r="N2301">
        <f t="shared" si="1153"/>
        <v>270</v>
      </c>
    </row>
    <row r="2302" spans="1:14" x14ac:dyDescent="0.25">
      <c r="A2302">
        <v>146</v>
      </c>
      <c r="B2302" s="1">
        <v>44026</v>
      </c>
      <c r="C2302" t="s">
        <v>348</v>
      </c>
      <c r="D2302" t="s">
        <v>15</v>
      </c>
      <c r="F2302" t="s">
        <v>359</v>
      </c>
      <c r="G2302">
        <v>1</v>
      </c>
      <c r="H2302">
        <v>280</v>
      </c>
      <c r="I2302">
        <f t="shared" si="1154"/>
        <v>280</v>
      </c>
      <c r="J2302" t="s">
        <v>167</v>
      </c>
      <c r="K2302">
        <v>247</v>
      </c>
      <c r="M2302">
        <f t="shared" si="1152"/>
        <v>247</v>
      </c>
      <c r="N2302">
        <f t="shared" si="1153"/>
        <v>33</v>
      </c>
    </row>
    <row r="2303" spans="1:14" x14ac:dyDescent="0.25">
      <c r="A2303">
        <v>147</v>
      </c>
      <c r="B2303" s="1">
        <v>44026</v>
      </c>
      <c r="C2303" t="s">
        <v>348</v>
      </c>
      <c r="D2303" t="s">
        <v>55</v>
      </c>
      <c r="F2303" t="s">
        <v>111</v>
      </c>
      <c r="G2303">
        <f>20/17</f>
        <v>1.1764705882352942</v>
      </c>
      <c r="H2303">
        <v>300</v>
      </c>
      <c r="I2303">
        <f t="shared" si="1154"/>
        <v>352.94117647058823</v>
      </c>
      <c r="J2303" t="s">
        <v>167</v>
      </c>
      <c r="K2303">
        <v>268</v>
      </c>
      <c r="M2303">
        <f t="shared" si="1152"/>
        <v>315.29411764705884</v>
      </c>
      <c r="N2303">
        <f t="shared" si="1153"/>
        <v>37.647058823529392</v>
      </c>
    </row>
    <row r="2304" spans="1:14" x14ac:dyDescent="0.25">
      <c r="A2304">
        <v>148</v>
      </c>
      <c r="B2304" s="1">
        <v>44026</v>
      </c>
      <c r="C2304" t="s">
        <v>348</v>
      </c>
      <c r="D2304" t="s">
        <v>55</v>
      </c>
      <c r="F2304" t="s">
        <v>22</v>
      </c>
      <c r="G2304">
        <v>8</v>
      </c>
      <c r="H2304">
        <v>300</v>
      </c>
      <c r="I2304">
        <f t="shared" si="1154"/>
        <v>2400</v>
      </c>
      <c r="J2304" t="s">
        <v>167</v>
      </c>
      <c r="K2304">
        <v>268</v>
      </c>
      <c r="M2304">
        <f t="shared" si="1152"/>
        <v>2144</v>
      </c>
      <c r="N2304">
        <f t="shared" si="1153"/>
        <v>256</v>
      </c>
    </row>
    <row r="2305" spans="1:14" x14ac:dyDescent="0.25">
      <c r="A2305">
        <v>149</v>
      </c>
      <c r="B2305" s="1">
        <v>44026</v>
      </c>
      <c r="C2305" t="s">
        <v>348</v>
      </c>
      <c r="D2305" t="s">
        <v>15</v>
      </c>
      <c r="F2305" t="s">
        <v>20</v>
      </c>
      <c r="G2305">
        <v>21</v>
      </c>
      <c r="H2305">
        <v>250</v>
      </c>
      <c r="I2305">
        <f t="shared" si="1154"/>
        <v>5250</v>
      </c>
      <c r="J2305" t="s">
        <v>163</v>
      </c>
      <c r="K2305">
        <v>230</v>
      </c>
      <c r="M2305">
        <f t="shared" si="1152"/>
        <v>4830</v>
      </c>
      <c r="N2305">
        <f t="shared" si="1153"/>
        <v>420</v>
      </c>
    </row>
    <row r="2306" spans="1:14" x14ac:dyDescent="0.25">
      <c r="A2306">
        <v>150</v>
      </c>
      <c r="B2306" s="1">
        <v>44027</v>
      </c>
      <c r="C2306" t="s">
        <v>348</v>
      </c>
      <c r="D2306" t="s">
        <v>55</v>
      </c>
      <c r="F2306" t="s">
        <v>108</v>
      </c>
      <c r="G2306">
        <v>1</v>
      </c>
      <c r="H2306">
        <v>295</v>
      </c>
      <c r="I2306">
        <f t="shared" si="1154"/>
        <v>295</v>
      </c>
      <c r="J2306" t="s">
        <v>167</v>
      </c>
      <c r="K2306">
        <v>268</v>
      </c>
      <c r="M2306">
        <f t="shared" si="1152"/>
        <v>268</v>
      </c>
      <c r="N2306">
        <f t="shared" si="1153"/>
        <v>27</v>
      </c>
    </row>
    <row r="2307" spans="1:14" x14ac:dyDescent="0.25">
      <c r="A2307">
        <v>151</v>
      </c>
      <c r="B2307" s="1">
        <v>44027</v>
      </c>
      <c r="C2307" t="s">
        <v>348</v>
      </c>
      <c r="D2307" t="s">
        <v>26</v>
      </c>
      <c r="F2307" t="s">
        <v>47</v>
      </c>
      <c r="G2307">
        <v>11.42</v>
      </c>
      <c r="H2307">
        <v>350</v>
      </c>
      <c r="I2307">
        <f t="shared" si="1154"/>
        <v>3997</v>
      </c>
      <c r="J2307" t="s">
        <v>99</v>
      </c>
      <c r="K2307">
        <v>261</v>
      </c>
      <c r="M2307">
        <f t="shared" si="1152"/>
        <v>2980.62</v>
      </c>
      <c r="N2307">
        <f t="shared" si="1153"/>
        <v>1016.3800000000001</v>
      </c>
    </row>
    <row r="2308" spans="1:14" x14ac:dyDescent="0.25">
      <c r="A2308">
        <v>152</v>
      </c>
      <c r="B2308" s="1">
        <v>44027</v>
      </c>
      <c r="C2308" t="s">
        <v>348</v>
      </c>
      <c r="D2308" t="s">
        <v>15</v>
      </c>
      <c r="F2308" t="s">
        <v>385</v>
      </c>
      <c r="G2308">
        <v>1</v>
      </c>
      <c r="H2308">
        <v>240</v>
      </c>
      <c r="I2308">
        <f t="shared" si="1154"/>
        <v>240</v>
      </c>
      <c r="J2308" t="s">
        <v>167</v>
      </c>
      <c r="K2308">
        <v>207</v>
      </c>
      <c r="M2308">
        <f t="shared" si="1152"/>
        <v>207</v>
      </c>
      <c r="N2308">
        <f t="shared" si="1153"/>
        <v>33</v>
      </c>
    </row>
    <row r="2309" spans="1:14" x14ac:dyDescent="0.25">
      <c r="A2309">
        <v>153</v>
      </c>
      <c r="B2309" s="1">
        <v>44027</v>
      </c>
      <c r="C2309" t="s">
        <v>348</v>
      </c>
      <c r="D2309" t="s">
        <v>26</v>
      </c>
      <c r="F2309" t="s">
        <v>47</v>
      </c>
      <c r="G2309">
        <v>3.5</v>
      </c>
      <c r="H2309">
        <v>350</v>
      </c>
      <c r="I2309">
        <f t="shared" si="1154"/>
        <v>1225</v>
      </c>
      <c r="J2309" t="s">
        <v>99</v>
      </c>
      <c r="K2309">
        <v>261</v>
      </c>
      <c r="M2309">
        <f t="shared" ref="M2309:M2372" si="1155">+IF(K2309=0,(""),(K2309*G2309))</f>
        <v>913.5</v>
      </c>
      <c r="N2309">
        <f t="shared" ref="N2309:N2372" si="1156">+IF(K2309=0,(""),(I2309-M2309))</f>
        <v>311.5</v>
      </c>
    </row>
    <row r="2310" spans="1:14" x14ac:dyDescent="0.25">
      <c r="A2310">
        <v>154</v>
      </c>
      <c r="B2310" s="1">
        <v>44027</v>
      </c>
      <c r="C2310" t="s">
        <v>348</v>
      </c>
      <c r="D2310" t="s">
        <v>55</v>
      </c>
      <c r="F2310" t="s">
        <v>399</v>
      </c>
      <c r="G2310">
        <v>16</v>
      </c>
      <c r="H2310">
        <v>300</v>
      </c>
      <c r="I2310">
        <f t="shared" si="1154"/>
        <v>4800</v>
      </c>
      <c r="J2310" t="s">
        <v>167</v>
      </c>
      <c r="K2310">
        <v>268</v>
      </c>
      <c r="M2310">
        <f t="shared" si="1155"/>
        <v>4288</v>
      </c>
      <c r="N2310">
        <f t="shared" si="1156"/>
        <v>512</v>
      </c>
    </row>
    <row r="2311" spans="1:14" x14ac:dyDescent="0.25">
      <c r="A2311">
        <v>155</v>
      </c>
      <c r="B2311" s="1">
        <v>44027</v>
      </c>
      <c r="C2311" t="s">
        <v>348</v>
      </c>
      <c r="D2311" t="s">
        <v>78</v>
      </c>
      <c r="F2311" t="s">
        <v>79</v>
      </c>
      <c r="G2311">
        <v>1</v>
      </c>
      <c r="H2311">
        <v>1550</v>
      </c>
      <c r="I2311">
        <f t="shared" si="1154"/>
        <v>1550</v>
      </c>
      <c r="J2311" t="s">
        <v>167</v>
      </c>
      <c r="K2311">
        <v>1330</v>
      </c>
      <c r="M2311">
        <f t="shared" si="1155"/>
        <v>1330</v>
      </c>
      <c r="N2311">
        <f t="shared" si="1156"/>
        <v>220</v>
      </c>
    </row>
    <row r="2312" spans="1:14" x14ac:dyDescent="0.25">
      <c r="A2312">
        <v>156</v>
      </c>
      <c r="B2312" s="1">
        <v>44027</v>
      </c>
      <c r="C2312" t="s">
        <v>348</v>
      </c>
      <c r="D2312" t="s">
        <v>78</v>
      </c>
      <c r="F2312" t="s">
        <v>124</v>
      </c>
      <c r="G2312">
        <v>1</v>
      </c>
      <c r="H2312">
        <v>90</v>
      </c>
      <c r="I2312">
        <f t="shared" si="1154"/>
        <v>90</v>
      </c>
      <c r="J2312" t="s">
        <v>166</v>
      </c>
      <c r="M2312" t="str">
        <f t="shared" si="1155"/>
        <v/>
      </c>
      <c r="N2312" t="str">
        <f t="shared" si="1156"/>
        <v/>
      </c>
    </row>
    <row r="2313" spans="1:14" x14ac:dyDescent="0.25">
      <c r="A2313">
        <v>157</v>
      </c>
      <c r="B2313" s="1">
        <v>44027</v>
      </c>
      <c r="C2313" t="s">
        <v>348</v>
      </c>
      <c r="D2313" t="s">
        <v>78</v>
      </c>
      <c r="F2313" t="s">
        <v>245</v>
      </c>
      <c r="G2313">
        <v>1</v>
      </c>
      <c r="H2313">
        <v>80</v>
      </c>
      <c r="I2313">
        <f t="shared" si="1154"/>
        <v>80</v>
      </c>
      <c r="J2313" t="s">
        <v>166</v>
      </c>
      <c r="M2313" t="str">
        <f t="shared" si="1155"/>
        <v/>
      </c>
      <c r="N2313" t="str">
        <f t="shared" si="1156"/>
        <v/>
      </c>
    </row>
    <row r="2314" spans="1:14" x14ac:dyDescent="0.25">
      <c r="A2314">
        <v>158</v>
      </c>
      <c r="B2314" s="1">
        <v>44027</v>
      </c>
      <c r="C2314" t="s">
        <v>348</v>
      </c>
      <c r="D2314" t="s">
        <v>25</v>
      </c>
      <c r="F2314" t="s">
        <v>58</v>
      </c>
      <c r="G2314">
        <v>2</v>
      </c>
      <c r="H2314">
        <v>60</v>
      </c>
      <c r="I2314">
        <f t="shared" si="1154"/>
        <v>120</v>
      </c>
      <c r="J2314" t="s">
        <v>165</v>
      </c>
      <c r="K2314">
        <v>33</v>
      </c>
      <c r="M2314">
        <f t="shared" si="1155"/>
        <v>66</v>
      </c>
      <c r="N2314">
        <f t="shared" si="1156"/>
        <v>54</v>
      </c>
    </row>
    <row r="2315" spans="1:14" x14ac:dyDescent="0.25">
      <c r="A2315">
        <v>159</v>
      </c>
      <c r="B2315" s="1">
        <v>44027</v>
      </c>
      <c r="C2315" t="s">
        <v>348</v>
      </c>
      <c r="D2315" t="s">
        <v>44</v>
      </c>
      <c r="F2315" t="s">
        <v>138</v>
      </c>
      <c r="G2315">
        <v>1</v>
      </c>
      <c r="H2315">
        <v>35</v>
      </c>
      <c r="I2315">
        <f t="shared" si="1154"/>
        <v>35</v>
      </c>
      <c r="J2315" t="s">
        <v>166</v>
      </c>
      <c r="K2315">
        <v>29</v>
      </c>
      <c r="M2315">
        <f t="shared" si="1155"/>
        <v>29</v>
      </c>
      <c r="N2315">
        <f t="shared" si="1156"/>
        <v>6</v>
      </c>
    </row>
    <row r="2316" spans="1:14" x14ac:dyDescent="0.25">
      <c r="A2316">
        <v>160</v>
      </c>
      <c r="B2316" s="1">
        <v>44027</v>
      </c>
      <c r="C2316" t="s">
        <v>348</v>
      </c>
      <c r="D2316" t="s">
        <v>15</v>
      </c>
      <c r="F2316" t="s">
        <v>29</v>
      </c>
      <c r="G2316">
        <v>38</v>
      </c>
      <c r="H2316">
        <v>240</v>
      </c>
      <c r="I2316">
        <f t="shared" si="1154"/>
        <v>9120</v>
      </c>
      <c r="J2316" t="s">
        <v>163</v>
      </c>
      <c r="K2316">
        <v>210</v>
      </c>
      <c r="M2316">
        <f t="shared" si="1155"/>
        <v>7980</v>
      </c>
      <c r="N2316">
        <f t="shared" si="1156"/>
        <v>1140</v>
      </c>
    </row>
    <row r="2317" spans="1:14" x14ac:dyDescent="0.25">
      <c r="A2317">
        <v>161</v>
      </c>
      <c r="B2317" s="1">
        <v>44027</v>
      </c>
      <c r="C2317" t="s">
        <v>348</v>
      </c>
      <c r="D2317" t="s">
        <v>56</v>
      </c>
      <c r="F2317" t="s">
        <v>267</v>
      </c>
      <c r="G2317">
        <v>10</v>
      </c>
      <c r="H2317">
        <v>170</v>
      </c>
      <c r="I2317">
        <f t="shared" si="1154"/>
        <v>1700</v>
      </c>
      <c r="J2317" t="s">
        <v>163</v>
      </c>
      <c r="K2317">
        <v>123</v>
      </c>
      <c r="M2317">
        <f t="shared" si="1155"/>
        <v>1230</v>
      </c>
      <c r="N2317">
        <f t="shared" si="1156"/>
        <v>470</v>
      </c>
    </row>
    <row r="2318" spans="1:14" x14ac:dyDescent="0.25">
      <c r="A2318">
        <v>162</v>
      </c>
      <c r="B2318" s="1">
        <v>44027</v>
      </c>
      <c r="C2318" t="s">
        <v>348</v>
      </c>
      <c r="D2318" t="s">
        <v>24</v>
      </c>
      <c r="F2318" t="s">
        <v>24</v>
      </c>
      <c r="G2318">
        <v>3.2</v>
      </c>
      <c r="H2318">
        <v>100</v>
      </c>
      <c r="I2318">
        <f t="shared" si="1154"/>
        <v>320</v>
      </c>
      <c r="J2318" t="s">
        <v>186</v>
      </c>
      <c r="K2318">
        <v>68.22</v>
      </c>
      <c r="M2318">
        <f t="shared" si="1155"/>
        <v>218.304</v>
      </c>
      <c r="N2318">
        <f t="shared" si="1156"/>
        <v>101.696</v>
      </c>
    </row>
    <row r="2319" spans="1:14" x14ac:dyDescent="0.25">
      <c r="A2319">
        <v>163</v>
      </c>
      <c r="B2319" s="1">
        <v>44027</v>
      </c>
      <c r="C2319" t="s">
        <v>348</v>
      </c>
      <c r="D2319" t="s">
        <v>44</v>
      </c>
      <c r="F2319" t="s">
        <v>138</v>
      </c>
      <c r="G2319">
        <v>1</v>
      </c>
      <c r="H2319">
        <v>35</v>
      </c>
      <c r="I2319">
        <f t="shared" si="1154"/>
        <v>35</v>
      </c>
      <c r="J2319" t="s">
        <v>166</v>
      </c>
      <c r="K2319">
        <v>29</v>
      </c>
      <c r="M2319">
        <f t="shared" si="1155"/>
        <v>29</v>
      </c>
      <c r="N2319">
        <f t="shared" si="1156"/>
        <v>6</v>
      </c>
    </row>
    <row r="2320" spans="1:14" x14ac:dyDescent="0.25">
      <c r="A2320">
        <v>164</v>
      </c>
      <c r="B2320" s="1">
        <v>44027</v>
      </c>
      <c r="C2320" t="s">
        <v>348</v>
      </c>
      <c r="D2320" t="s">
        <v>25</v>
      </c>
      <c r="F2320" t="s">
        <v>145</v>
      </c>
      <c r="G2320">
        <v>3</v>
      </c>
      <c r="H2320">
        <v>100</v>
      </c>
      <c r="I2320">
        <f t="shared" si="1154"/>
        <v>300</v>
      </c>
      <c r="J2320" t="s">
        <v>163</v>
      </c>
      <c r="K2320">
        <v>70</v>
      </c>
      <c r="M2320">
        <f t="shared" si="1155"/>
        <v>210</v>
      </c>
      <c r="N2320">
        <f t="shared" si="1156"/>
        <v>90</v>
      </c>
    </row>
    <row r="2321" spans="1:14" x14ac:dyDescent="0.25">
      <c r="A2321">
        <v>165</v>
      </c>
      <c r="B2321" s="1">
        <v>44027</v>
      </c>
      <c r="C2321" t="s">
        <v>348</v>
      </c>
      <c r="D2321" t="s">
        <v>25</v>
      </c>
      <c r="F2321" t="s">
        <v>71</v>
      </c>
      <c r="G2321">
        <v>1</v>
      </c>
      <c r="H2321">
        <v>60</v>
      </c>
      <c r="I2321">
        <f t="shared" si="1154"/>
        <v>60</v>
      </c>
      <c r="J2321" t="s">
        <v>165</v>
      </c>
      <c r="K2321">
        <v>33</v>
      </c>
      <c r="M2321">
        <f t="shared" si="1155"/>
        <v>33</v>
      </c>
      <c r="N2321">
        <f t="shared" si="1156"/>
        <v>27</v>
      </c>
    </row>
    <row r="2322" spans="1:14" x14ac:dyDescent="0.25">
      <c r="A2322">
        <v>166</v>
      </c>
      <c r="B2322" s="1">
        <v>44027</v>
      </c>
      <c r="C2322" t="s">
        <v>348</v>
      </c>
      <c r="D2322" t="s">
        <v>25</v>
      </c>
      <c r="F2322" t="s">
        <v>203</v>
      </c>
      <c r="G2322">
        <v>1</v>
      </c>
      <c r="H2322">
        <v>100</v>
      </c>
      <c r="I2322">
        <f t="shared" si="1154"/>
        <v>100</v>
      </c>
      <c r="J2322" t="s">
        <v>163</v>
      </c>
      <c r="K2322">
        <v>70</v>
      </c>
      <c r="M2322">
        <f t="shared" si="1155"/>
        <v>70</v>
      </c>
      <c r="N2322">
        <f t="shared" si="1156"/>
        <v>30</v>
      </c>
    </row>
    <row r="2323" spans="1:14" x14ac:dyDescent="0.25">
      <c r="A2323">
        <v>167</v>
      </c>
      <c r="B2323" s="1">
        <v>44027</v>
      </c>
      <c r="C2323" t="s">
        <v>348</v>
      </c>
      <c r="D2323" t="s">
        <v>92</v>
      </c>
      <c r="F2323" t="s">
        <v>400</v>
      </c>
      <c r="G2323">
        <v>1</v>
      </c>
      <c r="H2323">
        <v>950</v>
      </c>
      <c r="I2323">
        <f t="shared" si="1154"/>
        <v>950</v>
      </c>
      <c r="J2323" t="s">
        <v>23</v>
      </c>
      <c r="M2323" t="str">
        <f t="shared" si="1155"/>
        <v/>
      </c>
      <c r="N2323" t="str">
        <f t="shared" si="1156"/>
        <v/>
      </c>
    </row>
    <row r="2324" spans="1:14" x14ac:dyDescent="0.25">
      <c r="A2324">
        <v>168</v>
      </c>
      <c r="B2324" s="1">
        <v>44027</v>
      </c>
      <c r="C2324" t="s">
        <v>348</v>
      </c>
      <c r="D2324" t="s">
        <v>25</v>
      </c>
      <c r="F2324" t="s">
        <v>83</v>
      </c>
      <c r="G2324">
        <v>1</v>
      </c>
      <c r="H2324">
        <v>60</v>
      </c>
      <c r="I2324">
        <f t="shared" si="1154"/>
        <v>60</v>
      </c>
      <c r="J2324" t="s">
        <v>165</v>
      </c>
      <c r="K2324">
        <v>33</v>
      </c>
      <c r="M2324">
        <f t="shared" si="1155"/>
        <v>33</v>
      </c>
      <c r="N2324">
        <f t="shared" si="1156"/>
        <v>27</v>
      </c>
    </row>
    <row r="2325" spans="1:14" x14ac:dyDescent="0.25">
      <c r="A2325">
        <v>169</v>
      </c>
      <c r="B2325" s="1">
        <v>44027</v>
      </c>
      <c r="C2325" t="s">
        <v>348</v>
      </c>
      <c r="D2325" t="s">
        <v>15</v>
      </c>
      <c r="F2325" t="s">
        <v>356</v>
      </c>
      <c r="G2325">
        <v>2</v>
      </c>
      <c r="H2325">
        <v>240</v>
      </c>
      <c r="I2325">
        <f t="shared" si="1154"/>
        <v>480</v>
      </c>
      <c r="J2325" t="s">
        <v>167</v>
      </c>
      <c r="K2325">
        <v>207</v>
      </c>
      <c r="M2325">
        <f t="shared" si="1155"/>
        <v>414</v>
      </c>
      <c r="N2325">
        <f t="shared" si="1156"/>
        <v>66</v>
      </c>
    </row>
    <row r="2326" spans="1:14" x14ac:dyDescent="0.25">
      <c r="A2326">
        <v>170</v>
      </c>
      <c r="B2326" s="1">
        <v>44027</v>
      </c>
      <c r="C2326" t="s">
        <v>348</v>
      </c>
      <c r="D2326" t="s">
        <v>15</v>
      </c>
      <c r="F2326" t="s">
        <v>401</v>
      </c>
      <c r="G2326">
        <v>28</v>
      </c>
      <c r="H2326">
        <v>300</v>
      </c>
      <c r="I2326">
        <f t="shared" si="1154"/>
        <v>8400</v>
      </c>
      <c r="J2326" t="s">
        <v>167</v>
      </c>
      <c r="K2326">
        <v>268</v>
      </c>
      <c r="M2326">
        <f t="shared" si="1155"/>
        <v>7504</v>
      </c>
      <c r="N2326">
        <f t="shared" si="1156"/>
        <v>896</v>
      </c>
    </row>
    <row r="2327" spans="1:14" x14ac:dyDescent="0.25">
      <c r="A2327">
        <v>171</v>
      </c>
      <c r="B2327" s="1">
        <v>44027</v>
      </c>
      <c r="C2327" t="s">
        <v>348</v>
      </c>
      <c r="D2327" t="s">
        <v>55</v>
      </c>
      <c r="F2327" t="s">
        <v>22</v>
      </c>
      <c r="G2327">
        <v>4.5</v>
      </c>
      <c r="H2327">
        <v>300</v>
      </c>
      <c r="I2327">
        <f t="shared" si="1154"/>
        <v>1350</v>
      </c>
      <c r="J2327" t="s">
        <v>167</v>
      </c>
      <c r="K2327">
        <v>268</v>
      </c>
      <c r="M2327">
        <f t="shared" si="1155"/>
        <v>1206</v>
      </c>
      <c r="N2327">
        <f t="shared" si="1156"/>
        <v>144</v>
      </c>
    </row>
    <row r="2328" spans="1:14" x14ac:dyDescent="0.25">
      <c r="A2328">
        <v>172</v>
      </c>
      <c r="B2328" s="1">
        <v>44027</v>
      </c>
      <c r="C2328" t="s">
        <v>348</v>
      </c>
      <c r="D2328" t="s">
        <v>55</v>
      </c>
      <c r="F2328" t="s">
        <v>22</v>
      </c>
      <c r="G2328">
        <v>6.5</v>
      </c>
      <c r="H2328">
        <v>300</v>
      </c>
      <c r="I2328">
        <f t="shared" si="1154"/>
        <v>1950</v>
      </c>
      <c r="J2328" t="s">
        <v>167</v>
      </c>
      <c r="K2328">
        <v>268</v>
      </c>
      <c r="M2328">
        <f t="shared" si="1155"/>
        <v>1742</v>
      </c>
      <c r="N2328">
        <f t="shared" si="1156"/>
        <v>208</v>
      </c>
    </row>
    <row r="2329" spans="1:14" x14ac:dyDescent="0.25">
      <c r="A2329">
        <v>173</v>
      </c>
      <c r="B2329" s="1">
        <v>44027</v>
      </c>
      <c r="C2329" t="s">
        <v>348</v>
      </c>
      <c r="D2329" t="s">
        <v>25</v>
      </c>
      <c r="F2329" t="s">
        <v>72</v>
      </c>
      <c r="G2329">
        <v>2</v>
      </c>
      <c r="H2329">
        <v>60</v>
      </c>
      <c r="I2329">
        <f t="shared" ref="I2329:I2392" si="1157">+G2329*H2329</f>
        <v>120</v>
      </c>
      <c r="J2329" t="s">
        <v>165</v>
      </c>
      <c r="K2329">
        <v>33</v>
      </c>
      <c r="M2329">
        <f t="shared" si="1155"/>
        <v>66</v>
      </c>
      <c r="N2329">
        <f t="shared" si="1156"/>
        <v>54</v>
      </c>
    </row>
    <row r="2330" spans="1:14" x14ac:dyDescent="0.25">
      <c r="A2330">
        <v>174</v>
      </c>
      <c r="B2330" s="1">
        <v>44028</v>
      </c>
      <c r="C2330" t="s">
        <v>348</v>
      </c>
      <c r="D2330" t="s">
        <v>25</v>
      </c>
      <c r="F2330" t="s">
        <v>58</v>
      </c>
      <c r="G2330">
        <v>1</v>
      </c>
      <c r="H2330">
        <v>60</v>
      </c>
      <c r="I2330">
        <f t="shared" si="1157"/>
        <v>60</v>
      </c>
      <c r="J2330" t="s">
        <v>165</v>
      </c>
      <c r="K2330">
        <v>33</v>
      </c>
      <c r="M2330">
        <f t="shared" si="1155"/>
        <v>33</v>
      </c>
      <c r="N2330">
        <f t="shared" si="1156"/>
        <v>27</v>
      </c>
    </row>
    <row r="2331" spans="1:14" x14ac:dyDescent="0.25">
      <c r="A2331">
        <v>175</v>
      </c>
      <c r="B2331" s="1">
        <v>44028</v>
      </c>
      <c r="C2331" t="s">
        <v>348</v>
      </c>
      <c r="D2331" t="s">
        <v>25</v>
      </c>
      <c r="F2331" t="s">
        <v>57</v>
      </c>
      <c r="G2331">
        <v>2</v>
      </c>
      <c r="H2331">
        <v>60</v>
      </c>
      <c r="I2331">
        <f t="shared" si="1157"/>
        <v>120</v>
      </c>
      <c r="J2331" t="s">
        <v>165</v>
      </c>
      <c r="K2331">
        <v>33</v>
      </c>
      <c r="M2331">
        <f t="shared" si="1155"/>
        <v>66</v>
      </c>
      <c r="N2331">
        <f t="shared" si="1156"/>
        <v>54</v>
      </c>
    </row>
    <row r="2332" spans="1:14" x14ac:dyDescent="0.25">
      <c r="A2332">
        <v>176</v>
      </c>
      <c r="B2332" s="1">
        <v>44028</v>
      </c>
      <c r="C2332" t="s">
        <v>348</v>
      </c>
      <c r="D2332" t="s">
        <v>70</v>
      </c>
      <c r="F2332" t="s">
        <v>227</v>
      </c>
      <c r="G2332">
        <v>1</v>
      </c>
      <c r="H2332">
        <v>1650</v>
      </c>
      <c r="I2332">
        <f t="shared" si="1157"/>
        <v>1650</v>
      </c>
      <c r="J2332" t="s">
        <v>167</v>
      </c>
      <c r="K2332">
        <v>1440</v>
      </c>
      <c r="M2332">
        <f t="shared" si="1155"/>
        <v>1440</v>
      </c>
      <c r="N2332">
        <f t="shared" si="1156"/>
        <v>210</v>
      </c>
    </row>
    <row r="2333" spans="1:14" x14ac:dyDescent="0.25">
      <c r="A2333">
        <v>177</v>
      </c>
      <c r="B2333" s="1">
        <v>44028</v>
      </c>
      <c r="C2333" t="s">
        <v>348</v>
      </c>
      <c r="D2333" t="s">
        <v>26</v>
      </c>
      <c r="F2333" t="s">
        <v>47</v>
      </c>
      <c r="G2333">
        <v>27</v>
      </c>
      <c r="H2333">
        <v>350</v>
      </c>
      <c r="I2333">
        <f t="shared" si="1157"/>
        <v>9450</v>
      </c>
      <c r="J2333" t="s">
        <v>99</v>
      </c>
      <c r="K2333">
        <v>261</v>
      </c>
      <c r="M2333">
        <f t="shared" si="1155"/>
        <v>7047</v>
      </c>
      <c r="N2333">
        <f t="shared" si="1156"/>
        <v>2403</v>
      </c>
    </row>
    <row r="2334" spans="1:14" x14ac:dyDescent="0.25">
      <c r="A2334">
        <v>178</v>
      </c>
      <c r="B2334" s="1">
        <v>44028</v>
      </c>
      <c r="C2334" t="s">
        <v>348</v>
      </c>
      <c r="D2334" t="s">
        <v>15</v>
      </c>
      <c r="F2334" t="s">
        <v>28</v>
      </c>
      <c r="G2334">
        <v>13</v>
      </c>
      <c r="H2334">
        <v>240</v>
      </c>
      <c r="I2334">
        <f t="shared" si="1157"/>
        <v>3120</v>
      </c>
      <c r="J2334" t="s">
        <v>163</v>
      </c>
      <c r="K2334">
        <v>217</v>
      </c>
      <c r="M2334">
        <f t="shared" si="1155"/>
        <v>2821</v>
      </c>
      <c r="N2334">
        <f t="shared" si="1156"/>
        <v>299</v>
      </c>
    </row>
    <row r="2335" spans="1:14" x14ac:dyDescent="0.25">
      <c r="A2335">
        <v>179</v>
      </c>
      <c r="B2335" s="1">
        <v>44028</v>
      </c>
      <c r="C2335" t="s">
        <v>348</v>
      </c>
      <c r="D2335" t="s">
        <v>56</v>
      </c>
      <c r="F2335" t="s">
        <v>267</v>
      </c>
      <c r="G2335">
        <v>3</v>
      </c>
      <c r="H2335">
        <v>170</v>
      </c>
      <c r="I2335">
        <f t="shared" si="1157"/>
        <v>510</v>
      </c>
      <c r="J2335" t="s">
        <v>163</v>
      </c>
      <c r="K2335">
        <v>123</v>
      </c>
      <c r="M2335">
        <f t="shared" si="1155"/>
        <v>369</v>
      </c>
      <c r="N2335">
        <f t="shared" si="1156"/>
        <v>141</v>
      </c>
    </row>
    <row r="2336" spans="1:14" x14ac:dyDescent="0.25">
      <c r="A2336">
        <v>180</v>
      </c>
      <c r="B2336" s="1">
        <v>44028</v>
      </c>
      <c r="C2336" t="s">
        <v>348</v>
      </c>
      <c r="D2336" t="s">
        <v>68</v>
      </c>
      <c r="F2336" t="s">
        <v>402</v>
      </c>
      <c r="G2336">
        <v>1</v>
      </c>
      <c r="H2336">
        <v>80</v>
      </c>
      <c r="I2336">
        <f t="shared" si="1157"/>
        <v>80</v>
      </c>
      <c r="J2336" t="s">
        <v>395</v>
      </c>
      <c r="M2336" t="str">
        <f t="shared" si="1155"/>
        <v/>
      </c>
      <c r="N2336" t="str">
        <f t="shared" si="1156"/>
        <v/>
      </c>
    </row>
    <row r="2337" spans="1:14" x14ac:dyDescent="0.25">
      <c r="A2337">
        <v>181</v>
      </c>
      <c r="B2337" s="1">
        <v>44028</v>
      </c>
      <c r="C2337" t="s">
        <v>348</v>
      </c>
      <c r="D2337" t="s">
        <v>26</v>
      </c>
      <c r="F2337" t="s">
        <v>47</v>
      </c>
      <c r="G2337">
        <v>5.44</v>
      </c>
      <c r="H2337">
        <v>380</v>
      </c>
      <c r="I2337">
        <f t="shared" si="1157"/>
        <v>2067.2000000000003</v>
      </c>
      <c r="J2337" t="s">
        <v>99</v>
      </c>
      <c r="K2337">
        <v>261</v>
      </c>
      <c r="M2337">
        <f t="shared" si="1155"/>
        <v>1419.8400000000001</v>
      </c>
      <c r="N2337">
        <f t="shared" si="1156"/>
        <v>647.36000000000013</v>
      </c>
    </row>
    <row r="2338" spans="1:14" x14ac:dyDescent="0.25">
      <c r="A2338">
        <v>182</v>
      </c>
      <c r="B2338" s="1">
        <v>44029</v>
      </c>
      <c r="C2338" t="s">
        <v>348</v>
      </c>
      <c r="D2338" t="s">
        <v>23</v>
      </c>
      <c r="F2338" t="s">
        <v>364</v>
      </c>
      <c r="G2338">
        <v>3</v>
      </c>
      <c r="H2338">
        <v>280</v>
      </c>
      <c r="I2338">
        <f t="shared" si="1157"/>
        <v>840</v>
      </c>
      <c r="J2338" t="s">
        <v>163</v>
      </c>
      <c r="K2338">
        <v>0</v>
      </c>
      <c r="M2338" t="str">
        <f t="shared" si="1155"/>
        <v/>
      </c>
      <c r="N2338" t="str">
        <f t="shared" si="1156"/>
        <v/>
      </c>
    </row>
    <row r="2339" spans="1:14" x14ac:dyDescent="0.25">
      <c r="A2339">
        <v>183</v>
      </c>
      <c r="B2339" s="1">
        <v>44029</v>
      </c>
      <c r="C2339" t="s">
        <v>348</v>
      </c>
      <c r="D2339" t="s">
        <v>70</v>
      </c>
      <c r="F2339" t="s">
        <v>152</v>
      </c>
      <c r="G2339">
        <v>1</v>
      </c>
      <c r="H2339">
        <v>85</v>
      </c>
      <c r="I2339">
        <f t="shared" si="1157"/>
        <v>85</v>
      </c>
      <c r="J2339" t="s">
        <v>163</v>
      </c>
      <c r="K2339">
        <v>70</v>
      </c>
      <c r="M2339">
        <f t="shared" si="1155"/>
        <v>70</v>
      </c>
      <c r="N2339">
        <f t="shared" si="1156"/>
        <v>15</v>
      </c>
    </row>
    <row r="2340" spans="1:14" x14ac:dyDescent="0.25">
      <c r="A2340">
        <v>184</v>
      </c>
      <c r="B2340" s="1">
        <v>44029</v>
      </c>
      <c r="C2340" t="s">
        <v>348</v>
      </c>
      <c r="D2340" t="s">
        <v>25</v>
      </c>
      <c r="F2340" t="s">
        <v>57</v>
      </c>
      <c r="G2340">
        <v>1</v>
      </c>
      <c r="H2340">
        <v>60</v>
      </c>
      <c r="I2340">
        <f t="shared" si="1157"/>
        <v>60</v>
      </c>
      <c r="J2340" t="s">
        <v>165</v>
      </c>
      <c r="K2340">
        <v>33</v>
      </c>
      <c r="M2340">
        <f t="shared" si="1155"/>
        <v>33</v>
      </c>
      <c r="N2340">
        <f t="shared" si="1156"/>
        <v>27</v>
      </c>
    </row>
    <row r="2341" spans="1:14" x14ac:dyDescent="0.25">
      <c r="A2341">
        <v>185</v>
      </c>
      <c r="B2341" s="1">
        <v>44029</v>
      </c>
      <c r="C2341" t="s">
        <v>348</v>
      </c>
      <c r="D2341" t="s">
        <v>24</v>
      </c>
      <c r="F2341" t="s">
        <v>24</v>
      </c>
      <c r="G2341">
        <v>1</v>
      </c>
      <c r="H2341">
        <v>100</v>
      </c>
      <c r="I2341">
        <f t="shared" si="1157"/>
        <v>100</v>
      </c>
      <c r="J2341" t="s">
        <v>186</v>
      </c>
      <c r="K2341">
        <v>68.22</v>
      </c>
      <c r="M2341">
        <f t="shared" si="1155"/>
        <v>68.22</v>
      </c>
      <c r="N2341">
        <f t="shared" si="1156"/>
        <v>31.78</v>
      </c>
    </row>
    <row r="2342" spans="1:14" x14ac:dyDescent="0.25">
      <c r="A2342">
        <v>186</v>
      </c>
      <c r="B2342" s="1">
        <v>44029</v>
      </c>
      <c r="C2342" t="s">
        <v>348</v>
      </c>
      <c r="D2342" t="s">
        <v>23</v>
      </c>
      <c r="F2342" t="s">
        <v>66</v>
      </c>
      <c r="G2342">
        <v>1</v>
      </c>
      <c r="H2342">
        <v>120</v>
      </c>
      <c r="I2342">
        <f t="shared" si="1157"/>
        <v>120</v>
      </c>
      <c r="J2342" t="s">
        <v>187</v>
      </c>
      <c r="K2342">
        <v>88</v>
      </c>
      <c r="M2342">
        <f t="shared" si="1155"/>
        <v>88</v>
      </c>
      <c r="N2342">
        <f t="shared" si="1156"/>
        <v>32</v>
      </c>
    </row>
    <row r="2343" spans="1:14" x14ac:dyDescent="0.25">
      <c r="A2343">
        <v>187</v>
      </c>
      <c r="B2343" s="1">
        <v>44029</v>
      </c>
      <c r="C2343" t="s">
        <v>348</v>
      </c>
      <c r="D2343" t="s">
        <v>56</v>
      </c>
      <c r="F2343" t="s">
        <v>176</v>
      </c>
      <c r="G2343">
        <v>9</v>
      </c>
      <c r="H2343">
        <v>260</v>
      </c>
      <c r="I2343">
        <f t="shared" si="1157"/>
        <v>2340</v>
      </c>
      <c r="J2343" t="s">
        <v>163</v>
      </c>
      <c r="K2343">
        <v>200</v>
      </c>
      <c r="M2343">
        <f t="shared" si="1155"/>
        <v>1800</v>
      </c>
      <c r="N2343">
        <f t="shared" si="1156"/>
        <v>540</v>
      </c>
    </row>
    <row r="2344" spans="1:14" x14ac:dyDescent="0.25">
      <c r="A2344">
        <v>188</v>
      </c>
      <c r="B2344" s="1">
        <v>44029</v>
      </c>
      <c r="C2344" t="s">
        <v>348</v>
      </c>
      <c r="D2344" t="s">
        <v>26</v>
      </c>
      <c r="F2344" t="s">
        <v>47</v>
      </c>
      <c r="G2344">
        <v>1.44</v>
      </c>
      <c r="H2344">
        <v>340</v>
      </c>
      <c r="I2344">
        <f t="shared" si="1157"/>
        <v>489.59999999999997</v>
      </c>
      <c r="J2344" t="s">
        <v>99</v>
      </c>
      <c r="K2344">
        <v>261</v>
      </c>
      <c r="M2344">
        <f t="shared" si="1155"/>
        <v>375.84</v>
      </c>
      <c r="N2344">
        <f t="shared" si="1156"/>
        <v>113.75999999999999</v>
      </c>
    </row>
    <row r="2345" spans="1:14" x14ac:dyDescent="0.25">
      <c r="A2345">
        <v>189</v>
      </c>
      <c r="B2345" s="1">
        <v>44029</v>
      </c>
      <c r="C2345" t="s">
        <v>348</v>
      </c>
      <c r="D2345" t="s">
        <v>15</v>
      </c>
      <c r="F2345" t="s">
        <v>391</v>
      </c>
      <c r="G2345">
        <v>4</v>
      </c>
      <c r="H2345">
        <v>250</v>
      </c>
      <c r="I2345">
        <f t="shared" si="1157"/>
        <v>1000</v>
      </c>
      <c r="J2345" t="s">
        <v>167</v>
      </c>
      <c r="K2345">
        <v>219</v>
      </c>
      <c r="M2345">
        <f t="shared" si="1155"/>
        <v>876</v>
      </c>
      <c r="N2345">
        <f t="shared" si="1156"/>
        <v>124</v>
      </c>
    </row>
    <row r="2346" spans="1:14" x14ac:dyDescent="0.25">
      <c r="A2346">
        <v>190</v>
      </c>
      <c r="B2346" s="1">
        <v>44030</v>
      </c>
      <c r="C2346" t="s">
        <v>348</v>
      </c>
      <c r="D2346" t="s">
        <v>55</v>
      </c>
      <c r="F2346" t="s">
        <v>398</v>
      </c>
      <c r="G2346">
        <v>6</v>
      </c>
      <c r="H2346">
        <v>270</v>
      </c>
      <c r="I2346">
        <f>+G2346*H2346</f>
        <v>1620</v>
      </c>
      <c r="J2346" t="s">
        <v>167</v>
      </c>
      <c r="K2346">
        <v>207</v>
      </c>
      <c r="M2346">
        <f t="shared" si="1155"/>
        <v>1242</v>
      </c>
      <c r="N2346">
        <f t="shared" si="1156"/>
        <v>378</v>
      </c>
    </row>
    <row r="2347" spans="1:14" x14ac:dyDescent="0.25">
      <c r="A2347">
        <v>191</v>
      </c>
      <c r="B2347" s="1">
        <v>44030</v>
      </c>
      <c r="C2347" t="s">
        <v>348</v>
      </c>
      <c r="D2347" t="s">
        <v>26</v>
      </c>
      <c r="F2347" t="s">
        <v>47</v>
      </c>
      <c r="G2347">
        <v>6</v>
      </c>
      <c r="H2347">
        <v>350</v>
      </c>
      <c r="I2347">
        <f t="shared" si="1157"/>
        <v>2100</v>
      </c>
      <c r="J2347" t="s">
        <v>99</v>
      </c>
      <c r="K2347">
        <v>261</v>
      </c>
      <c r="M2347">
        <f t="shared" si="1155"/>
        <v>1566</v>
      </c>
      <c r="N2347">
        <f t="shared" si="1156"/>
        <v>534</v>
      </c>
    </row>
    <row r="2348" spans="1:14" x14ac:dyDescent="0.25">
      <c r="A2348">
        <v>192</v>
      </c>
      <c r="B2348" s="1">
        <v>44030</v>
      </c>
      <c r="C2348" t="s">
        <v>348</v>
      </c>
      <c r="D2348" t="s">
        <v>44</v>
      </c>
      <c r="F2348" t="s">
        <v>138</v>
      </c>
      <c r="G2348">
        <v>1</v>
      </c>
      <c r="H2348">
        <v>35</v>
      </c>
      <c r="I2348">
        <f t="shared" si="1157"/>
        <v>35</v>
      </c>
      <c r="J2348" t="s">
        <v>166</v>
      </c>
      <c r="K2348">
        <v>29</v>
      </c>
      <c r="M2348">
        <f t="shared" si="1155"/>
        <v>29</v>
      </c>
      <c r="N2348">
        <f t="shared" si="1156"/>
        <v>6</v>
      </c>
    </row>
    <row r="2349" spans="1:14" x14ac:dyDescent="0.25">
      <c r="A2349">
        <v>193</v>
      </c>
      <c r="B2349" s="1">
        <v>44030</v>
      </c>
      <c r="C2349" t="s">
        <v>348</v>
      </c>
      <c r="D2349" t="s">
        <v>25</v>
      </c>
      <c r="F2349" t="s">
        <v>137</v>
      </c>
      <c r="G2349">
        <v>1</v>
      </c>
      <c r="H2349">
        <v>60</v>
      </c>
      <c r="I2349">
        <f t="shared" si="1157"/>
        <v>60</v>
      </c>
      <c r="J2349" t="s">
        <v>165</v>
      </c>
      <c r="K2349">
        <v>33</v>
      </c>
      <c r="M2349">
        <f t="shared" si="1155"/>
        <v>33</v>
      </c>
      <c r="N2349">
        <f t="shared" si="1156"/>
        <v>27</v>
      </c>
    </row>
    <row r="2350" spans="1:14" x14ac:dyDescent="0.25">
      <c r="A2350">
        <v>194</v>
      </c>
      <c r="B2350" s="1">
        <v>44030</v>
      </c>
      <c r="C2350" t="s">
        <v>348</v>
      </c>
      <c r="D2350" t="s">
        <v>25</v>
      </c>
      <c r="F2350" t="s">
        <v>57</v>
      </c>
      <c r="G2350">
        <v>1</v>
      </c>
      <c r="H2350">
        <v>60</v>
      </c>
      <c r="I2350">
        <f t="shared" si="1157"/>
        <v>60</v>
      </c>
      <c r="J2350" t="s">
        <v>165</v>
      </c>
      <c r="K2350">
        <v>33</v>
      </c>
      <c r="M2350">
        <f t="shared" si="1155"/>
        <v>33</v>
      </c>
      <c r="N2350">
        <f t="shared" si="1156"/>
        <v>27</v>
      </c>
    </row>
    <row r="2351" spans="1:14" x14ac:dyDescent="0.25">
      <c r="A2351">
        <v>195</v>
      </c>
      <c r="B2351" s="1">
        <v>44030</v>
      </c>
      <c r="C2351" t="s">
        <v>348</v>
      </c>
      <c r="D2351" t="s">
        <v>15</v>
      </c>
      <c r="F2351" t="s">
        <v>391</v>
      </c>
      <c r="G2351">
        <v>2</v>
      </c>
      <c r="H2351">
        <v>250</v>
      </c>
      <c r="I2351">
        <f t="shared" si="1157"/>
        <v>500</v>
      </c>
      <c r="J2351" t="s">
        <v>167</v>
      </c>
      <c r="K2351">
        <v>219</v>
      </c>
      <c r="M2351">
        <f t="shared" si="1155"/>
        <v>438</v>
      </c>
      <c r="N2351">
        <f t="shared" si="1156"/>
        <v>62</v>
      </c>
    </row>
    <row r="2352" spans="1:14" x14ac:dyDescent="0.25">
      <c r="A2352">
        <v>196</v>
      </c>
      <c r="B2352" s="1">
        <v>44030</v>
      </c>
      <c r="C2352" t="s">
        <v>348</v>
      </c>
      <c r="D2352" t="s">
        <v>15</v>
      </c>
      <c r="F2352" t="s">
        <v>356</v>
      </c>
      <c r="G2352">
        <v>1.5</v>
      </c>
      <c r="H2352">
        <v>240</v>
      </c>
      <c r="I2352">
        <f t="shared" si="1157"/>
        <v>360</v>
      </c>
      <c r="J2352" t="s">
        <v>167</v>
      </c>
      <c r="K2352">
        <v>207</v>
      </c>
      <c r="M2352">
        <f t="shared" si="1155"/>
        <v>310.5</v>
      </c>
      <c r="N2352">
        <f t="shared" si="1156"/>
        <v>49.5</v>
      </c>
    </row>
    <row r="2353" spans="1:14" x14ac:dyDescent="0.25">
      <c r="A2353">
        <v>197</v>
      </c>
      <c r="B2353" s="1">
        <v>44030</v>
      </c>
      <c r="C2353" t="s">
        <v>348</v>
      </c>
      <c r="D2353" t="s">
        <v>70</v>
      </c>
      <c r="F2353" t="s">
        <v>227</v>
      </c>
      <c r="G2353">
        <v>1</v>
      </c>
      <c r="H2353">
        <v>1650</v>
      </c>
      <c r="I2353">
        <f t="shared" si="1157"/>
        <v>1650</v>
      </c>
      <c r="J2353" t="s">
        <v>167</v>
      </c>
      <c r="K2353">
        <v>1440</v>
      </c>
      <c r="M2353">
        <f t="shared" si="1155"/>
        <v>1440</v>
      </c>
      <c r="N2353">
        <f t="shared" si="1156"/>
        <v>210</v>
      </c>
    </row>
    <row r="2354" spans="1:14" x14ac:dyDescent="0.25">
      <c r="A2354">
        <v>198</v>
      </c>
      <c r="B2354" s="1">
        <v>44030</v>
      </c>
      <c r="C2354" t="s">
        <v>348</v>
      </c>
      <c r="D2354" t="s">
        <v>70</v>
      </c>
      <c r="F2354" t="s">
        <v>152</v>
      </c>
      <c r="G2354">
        <v>1</v>
      </c>
      <c r="H2354">
        <v>85</v>
      </c>
      <c r="I2354">
        <f t="shared" si="1157"/>
        <v>85</v>
      </c>
      <c r="J2354" t="s">
        <v>163</v>
      </c>
      <c r="K2354">
        <v>70</v>
      </c>
      <c r="M2354">
        <f t="shared" si="1155"/>
        <v>70</v>
      </c>
      <c r="N2354">
        <f t="shared" si="1156"/>
        <v>15</v>
      </c>
    </row>
    <row r="2355" spans="1:14" x14ac:dyDescent="0.25">
      <c r="A2355">
        <v>199</v>
      </c>
      <c r="B2355" s="1">
        <v>44030</v>
      </c>
      <c r="C2355" t="s">
        <v>348</v>
      </c>
      <c r="D2355" t="s">
        <v>15</v>
      </c>
      <c r="F2355" t="s">
        <v>19</v>
      </c>
      <c r="G2355">
        <v>50</v>
      </c>
      <c r="H2355">
        <v>300</v>
      </c>
      <c r="I2355">
        <f t="shared" si="1157"/>
        <v>15000</v>
      </c>
      <c r="J2355" t="s">
        <v>167</v>
      </c>
      <c r="K2355">
        <v>268</v>
      </c>
      <c r="M2355">
        <f t="shared" si="1155"/>
        <v>13400</v>
      </c>
      <c r="N2355">
        <f t="shared" si="1156"/>
        <v>1600</v>
      </c>
    </row>
    <row r="2356" spans="1:14" x14ac:dyDescent="0.25">
      <c r="A2356">
        <v>200</v>
      </c>
      <c r="B2356" s="1">
        <v>44030</v>
      </c>
      <c r="C2356" t="s">
        <v>348</v>
      </c>
      <c r="D2356" t="s">
        <v>56</v>
      </c>
      <c r="F2356" t="s">
        <v>267</v>
      </c>
      <c r="G2356">
        <v>22</v>
      </c>
      <c r="H2356">
        <v>170</v>
      </c>
      <c r="I2356">
        <f t="shared" si="1157"/>
        <v>3740</v>
      </c>
      <c r="J2356" t="s">
        <v>163</v>
      </c>
      <c r="K2356">
        <v>123</v>
      </c>
      <c r="M2356">
        <f t="shared" si="1155"/>
        <v>2706</v>
      </c>
      <c r="N2356">
        <f t="shared" si="1156"/>
        <v>1034</v>
      </c>
    </row>
    <row r="2357" spans="1:14" x14ac:dyDescent="0.25">
      <c r="A2357">
        <v>201</v>
      </c>
      <c r="B2357" s="1">
        <v>44030</v>
      </c>
      <c r="C2357" t="s">
        <v>348</v>
      </c>
      <c r="D2357" t="s">
        <v>44</v>
      </c>
      <c r="F2357" t="s">
        <v>382</v>
      </c>
      <c r="G2357">
        <v>2</v>
      </c>
      <c r="H2357">
        <v>35</v>
      </c>
      <c r="I2357">
        <f t="shared" si="1157"/>
        <v>70</v>
      </c>
      <c r="J2357" t="s">
        <v>166</v>
      </c>
      <c r="K2357">
        <v>22</v>
      </c>
      <c r="M2357">
        <f t="shared" si="1155"/>
        <v>44</v>
      </c>
      <c r="N2357">
        <f t="shared" si="1156"/>
        <v>26</v>
      </c>
    </row>
    <row r="2358" spans="1:14" x14ac:dyDescent="0.25">
      <c r="A2358">
        <v>202</v>
      </c>
      <c r="B2358" s="1">
        <v>44030</v>
      </c>
      <c r="C2358" t="s">
        <v>348</v>
      </c>
      <c r="D2358" t="s">
        <v>15</v>
      </c>
      <c r="F2358" t="s">
        <v>397</v>
      </c>
      <c r="G2358">
        <f>7/10</f>
        <v>0.7</v>
      </c>
      <c r="H2358">
        <v>250</v>
      </c>
      <c r="I2358">
        <f t="shared" si="1157"/>
        <v>175</v>
      </c>
      <c r="J2358" t="s">
        <v>167</v>
      </c>
      <c r="K2358">
        <v>219</v>
      </c>
      <c r="M2358">
        <f t="shared" si="1155"/>
        <v>153.29999999999998</v>
      </c>
      <c r="N2358">
        <f t="shared" si="1156"/>
        <v>21.700000000000017</v>
      </c>
    </row>
    <row r="2359" spans="1:14" x14ac:dyDescent="0.25">
      <c r="A2359">
        <v>203</v>
      </c>
      <c r="B2359" s="1">
        <v>44030</v>
      </c>
      <c r="C2359" t="s">
        <v>348</v>
      </c>
      <c r="D2359" t="s">
        <v>55</v>
      </c>
      <c r="F2359" t="s">
        <v>39</v>
      </c>
      <c r="G2359">
        <v>1.76</v>
      </c>
      <c r="H2359">
        <v>300</v>
      </c>
      <c r="I2359">
        <f t="shared" si="1157"/>
        <v>528</v>
      </c>
      <c r="J2359" t="s">
        <v>167</v>
      </c>
      <c r="K2359">
        <v>268</v>
      </c>
      <c r="M2359">
        <f t="shared" si="1155"/>
        <v>471.68</v>
      </c>
      <c r="N2359">
        <f t="shared" si="1156"/>
        <v>56.319999999999993</v>
      </c>
    </row>
    <row r="2360" spans="1:14" x14ac:dyDescent="0.25">
      <c r="A2360">
        <v>204</v>
      </c>
      <c r="B2360" s="1">
        <v>44030</v>
      </c>
      <c r="C2360" t="s">
        <v>348</v>
      </c>
      <c r="D2360" t="s">
        <v>24</v>
      </c>
      <c r="F2360" t="s">
        <v>24</v>
      </c>
      <c r="G2360">
        <v>1.6</v>
      </c>
      <c r="H2360">
        <v>100</v>
      </c>
      <c r="I2360">
        <f t="shared" si="1157"/>
        <v>160</v>
      </c>
      <c r="J2360" t="s">
        <v>186</v>
      </c>
      <c r="K2360">
        <v>68.22</v>
      </c>
      <c r="M2360">
        <f t="shared" si="1155"/>
        <v>109.152</v>
      </c>
      <c r="N2360">
        <f t="shared" si="1156"/>
        <v>50.847999999999999</v>
      </c>
    </row>
    <row r="2361" spans="1:14" x14ac:dyDescent="0.25">
      <c r="A2361">
        <v>205</v>
      </c>
      <c r="B2361" s="1">
        <v>44030</v>
      </c>
      <c r="C2361" t="s">
        <v>348</v>
      </c>
      <c r="D2361" t="s">
        <v>44</v>
      </c>
      <c r="F2361" t="s">
        <v>138</v>
      </c>
      <c r="G2361">
        <v>1</v>
      </c>
      <c r="H2361">
        <v>35</v>
      </c>
      <c r="I2361">
        <f t="shared" si="1157"/>
        <v>35</v>
      </c>
      <c r="J2361" t="s">
        <v>166</v>
      </c>
      <c r="K2361">
        <v>29</v>
      </c>
      <c r="M2361">
        <f t="shared" si="1155"/>
        <v>29</v>
      </c>
      <c r="N2361">
        <f t="shared" si="1156"/>
        <v>6</v>
      </c>
    </row>
    <row r="2362" spans="1:14" x14ac:dyDescent="0.25">
      <c r="A2362">
        <v>206</v>
      </c>
      <c r="B2362" s="1">
        <v>44030</v>
      </c>
      <c r="C2362" t="s">
        <v>348</v>
      </c>
      <c r="D2362" t="s">
        <v>15</v>
      </c>
      <c r="F2362" t="s">
        <v>28</v>
      </c>
      <c r="G2362">
        <v>12</v>
      </c>
      <c r="H2362">
        <v>240</v>
      </c>
      <c r="I2362">
        <f t="shared" si="1157"/>
        <v>2880</v>
      </c>
      <c r="J2362" t="s">
        <v>163</v>
      </c>
      <c r="K2362">
        <v>217</v>
      </c>
      <c r="M2362">
        <f t="shared" si="1155"/>
        <v>2604</v>
      </c>
      <c r="N2362">
        <f t="shared" si="1156"/>
        <v>276</v>
      </c>
    </row>
    <row r="2363" spans="1:14" x14ac:dyDescent="0.25">
      <c r="A2363">
        <v>207</v>
      </c>
      <c r="B2363" s="1">
        <v>44030</v>
      </c>
      <c r="C2363" t="s">
        <v>348</v>
      </c>
      <c r="D2363" t="s">
        <v>15</v>
      </c>
      <c r="F2363" t="s">
        <v>29</v>
      </c>
      <c r="G2363">
        <v>6</v>
      </c>
      <c r="H2363">
        <v>240</v>
      </c>
      <c r="I2363">
        <f t="shared" si="1157"/>
        <v>1440</v>
      </c>
      <c r="J2363" t="s">
        <v>163</v>
      </c>
      <c r="K2363">
        <v>210</v>
      </c>
      <c r="M2363">
        <f t="shared" si="1155"/>
        <v>1260</v>
      </c>
      <c r="N2363">
        <f t="shared" si="1156"/>
        <v>180</v>
      </c>
    </row>
    <row r="2364" spans="1:14" x14ac:dyDescent="0.25">
      <c r="A2364">
        <v>208</v>
      </c>
      <c r="B2364" s="1">
        <v>44030</v>
      </c>
      <c r="C2364" t="s">
        <v>348</v>
      </c>
      <c r="D2364" t="s">
        <v>23</v>
      </c>
      <c r="F2364" t="s">
        <v>364</v>
      </c>
      <c r="G2364">
        <v>1</v>
      </c>
      <c r="H2364">
        <v>280</v>
      </c>
      <c r="I2364">
        <f t="shared" si="1157"/>
        <v>280</v>
      </c>
      <c r="J2364" t="s">
        <v>163</v>
      </c>
      <c r="K2364">
        <v>0</v>
      </c>
      <c r="M2364" t="str">
        <f t="shared" si="1155"/>
        <v/>
      </c>
      <c r="N2364" t="str">
        <f t="shared" si="1156"/>
        <v/>
      </c>
    </row>
    <row r="2365" spans="1:14" x14ac:dyDescent="0.25">
      <c r="A2365">
        <v>209</v>
      </c>
      <c r="B2365" s="1">
        <v>44030</v>
      </c>
      <c r="C2365" t="s">
        <v>348</v>
      </c>
      <c r="D2365" t="s">
        <v>26</v>
      </c>
      <c r="F2365" t="s">
        <v>144</v>
      </c>
      <c r="G2365">
        <f>5/4*1.44</f>
        <v>1.7999999999999998</v>
      </c>
      <c r="H2365">
        <v>425</v>
      </c>
      <c r="I2365">
        <f t="shared" si="1157"/>
        <v>764.99999999999989</v>
      </c>
      <c r="J2365" t="s">
        <v>99</v>
      </c>
      <c r="K2365">
        <v>360</v>
      </c>
      <c r="M2365">
        <f t="shared" si="1155"/>
        <v>647.99999999999989</v>
      </c>
      <c r="N2365">
        <f t="shared" si="1156"/>
        <v>117</v>
      </c>
    </row>
    <row r="2366" spans="1:14" x14ac:dyDescent="0.25">
      <c r="A2366">
        <v>210</v>
      </c>
      <c r="B2366" s="1">
        <v>44030</v>
      </c>
      <c r="C2366" t="s">
        <v>348</v>
      </c>
      <c r="D2366" t="s">
        <v>26</v>
      </c>
      <c r="F2366" t="s">
        <v>47</v>
      </c>
      <c r="G2366">
        <f>5/4*1.44</f>
        <v>1.7999999999999998</v>
      </c>
      <c r="H2366">
        <v>350</v>
      </c>
      <c r="I2366">
        <f t="shared" si="1157"/>
        <v>629.99999999999989</v>
      </c>
      <c r="J2366" t="s">
        <v>99</v>
      </c>
      <c r="K2366">
        <v>261</v>
      </c>
      <c r="M2366">
        <f t="shared" si="1155"/>
        <v>469.79999999999995</v>
      </c>
      <c r="N2366">
        <f t="shared" si="1156"/>
        <v>160.19999999999993</v>
      </c>
    </row>
    <row r="2367" spans="1:14" x14ac:dyDescent="0.25">
      <c r="A2367">
        <v>211</v>
      </c>
      <c r="B2367" s="1">
        <v>44030</v>
      </c>
      <c r="C2367" t="s">
        <v>348</v>
      </c>
      <c r="D2367" t="s">
        <v>26</v>
      </c>
      <c r="F2367" t="s">
        <v>47</v>
      </c>
      <c r="G2367">
        <v>1.44</v>
      </c>
      <c r="H2367">
        <v>350</v>
      </c>
      <c r="I2367">
        <f t="shared" si="1157"/>
        <v>504</v>
      </c>
      <c r="J2367" t="s">
        <v>99</v>
      </c>
      <c r="K2367">
        <v>261</v>
      </c>
      <c r="M2367">
        <f t="shared" si="1155"/>
        <v>375.84</v>
      </c>
      <c r="N2367">
        <f t="shared" si="1156"/>
        <v>128.16000000000003</v>
      </c>
    </row>
    <row r="2368" spans="1:14" x14ac:dyDescent="0.25">
      <c r="A2368">
        <v>212</v>
      </c>
      <c r="B2368" s="1">
        <v>44030</v>
      </c>
      <c r="C2368" t="s">
        <v>348</v>
      </c>
      <c r="D2368" t="s">
        <v>25</v>
      </c>
      <c r="F2368" t="s">
        <v>156</v>
      </c>
      <c r="G2368">
        <v>5</v>
      </c>
      <c r="H2368">
        <v>60</v>
      </c>
      <c r="I2368">
        <f t="shared" si="1157"/>
        <v>300</v>
      </c>
      <c r="J2368" t="s">
        <v>165</v>
      </c>
      <c r="K2368">
        <v>33</v>
      </c>
      <c r="M2368">
        <f t="shared" si="1155"/>
        <v>165</v>
      </c>
      <c r="N2368">
        <f t="shared" si="1156"/>
        <v>135</v>
      </c>
    </row>
    <row r="2369" spans="1:14" x14ac:dyDescent="0.25">
      <c r="A2369">
        <v>213</v>
      </c>
      <c r="B2369" s="1">
        <v>44030</v>
      </c>
      <c r="C2369" t="s">
        <v>348</v>
      </c>
      <c r="D2369" t="s">
        <v>55</v>
      </c>
      <c r="F2369" t="s">
        <v>398</v>
      </c>
      <c r="G2369">
        <v>6</v>
      </c>
      <c r="H2369">
        <v>270</v>
      </c>
      <c r="I2369">
        <f t="shared" si="1157"/>
        <v>1620</v>
      </c>
      <c r="J2369" t="s">
        <v>167</v>
      </c>
      <c r="K2369">
        <v>207</v>
      </c>
      <c r="M2369">
        <f t="shared" si="1155"/>
        <v>1242</v>
      </c>
      <c r="N2369">
        <f t="shared" si="1156"/>
        <v>378</v>
      </c>
    </row>
    <row r="2370" spans="1:14" x14ac:dyDescent="0.25">
      <c r="A2370">
        <v>214</v>
      </c>
      <c r="B2370" s="1">
        <v>44030</v>
      </c>
      <c r="C2370" t="s">
        <v>348</v>
      </c>
      <c r="D2370" t="s">
        <v>55</v>
      </c>
      <c r="F2370" t="s">
        <v>247</v>
      </c>
      <c r="G2370">
        <v>12</v>
      </c>
      <c r="H2370">
        <v>300</v>
      </c>
      <c r="I2370">
        <f t="shared" si="1157"/>
        <v>3600</v>
      </c>
      <c r="J2370" t="s">
        <v>167</v>
      </c>
      <c r="K2370">
        <v>268</v>
      </c>
      <c r="M2370">
        <f t="shared" si="1155"/>
        <v>3216</v>
      </c>
      <c r="N2370">
        <f t="shared" si="1156"/>
        <v>384</v>
      </c>
    </row>
    <row r="2371" spans="1:14" x14ac:dyDescent="0.25">
      <c r="A2371">
        <v>215</v>
      </c>
      <c r="B2371" s="1">
        <v>44030</v>
      </c>
      <c r="C2371" t="s">
        <v>348</v>
      </c>
      <c r="D2371" t="s">
        <v>15</v>
      </c>
      <c r="F2371" t="s">
        <v>252</v>
      </c>
      <c r="G2371">
        <v>4</v>
      </c>
      <c r="H2371">
        <v>280</v>
      </c>
      <c r="I2371">
        <f t="shared" si="1157"/>
        <v>1120</v>
      </c>
      <c r="J2371" t="s">
        <v>163</v>
      </c>
      <c r="K2371">
        <v>247</v>
      </c>
      <c r="M2371">
        <f t="shared" si="1155"/>
        <v>988</v>
      </c>
      <c r="N2371">
        <f t="shared" si="1156"/>
        <v>132</v>
      </c>
    </row>
    <row r="2372" spans="1:14" x14ac:dyDescent="0.25">
      <c r="A2372">
        <v>216</v>
      </c>
      <c r="B2372" s="1">
        <v>44030</v>
      </c>
      <c r="C2372" t="s">
        <v>348</v>
      </c>
      <c r="D2372" t="s">
        <v>25</v>
      </c>
      <c r="F2372" t="s">
        <v>137</v>
      </c>
      <c r="G2372">
        <v>2</v>
      </c>
      <c r="H2372">
        <v>60</v>
      </c>
      <c r="I2372">
        <f t="shared" si="1157"/>
        <v>120</v>
      </c>
      <c r="J2372" t="s">
        <v>165</v>
      </c>
      <c r="K2372">
        <v>33</v>
      </c>
      <c r="M2372">
        <f t="shared" si="1155"/>
        <v>66</v>
      </c>
      <c r="N2372">
        <f t="shared" si="1156"/>
        <v>54</v>
      </c>
    </row>
    <row r="2373" spans="1:14" x14ac:dyDescent="0.25">
      <c r="A2373">
        <v>217</v>
      </c>
      <c r="B2373" s="1">
        <v>44030</v>
      </c>
      <c r="C2373" t="s">
        <v>348</v>
      </c>
      <c r="D2373" t="s">
        <v>25</v>
      </c>
      <c r="F2373" t="s">
        <v>127</v>
      </c>
      <c r="G2373">
        <v>2</v>
      </c>
      <c r="H2373">
        <v>60</v>
      </c>
      <c r="I2373">
        <f t="shared" si="1157"/>
        <v>120</v>
      </c>
      <c r="J2373" t="s">
        <v>165</v>
      </c>
      <c r="K2373">
        <v>33</v>
      </c>
      <c r="M2373">
        <f t="shared" ref="M2373:M2436" si="1158">+IF(K2373=0,(""),(K2373*G2373))</f>
        <v>66</v>
      </c>
      <c r="N2373">
        <f t="shared" ref="N2373:N2436" si="1159">+IF(K2373=0,(""),(I2373-M2373))</f>
        <v>54</v>
      </c>
    </row>
    <row r="2374" spans="1:14" x14ac:dyDescent="0.25">
      <c r="A2374">
        <v>218</v>
      </c>
      <c r="B2374" s="1">
        <v>44033</v>
      </c>
      <c r="C2374" t="s">
        <v>348</v>
      </c>
      <c r="D2374" t="s">
        <v>68</v>
      </c>
      <c r="F2374" t="s">
        <v>403</v>
      </c>
      <c r="G2374">
        <v>3</v>
      </c>
      <c r="H2374">
        <v>40</v>
      </c>
      <c r="I2374">
        <f t="shared" si="1157"/>
        <v>120</v>
      </c>
      <c r="J2374" t="s">
        <v>395</v>
      </c>
      <c r="M2374" t="str">
        <f t="shared" si="1158"/>
        <v/>
      </c>
      <c r="N2374" t="str">
        <f t="shared" si="1159"/>
        <v/>
      </c>
    </row>
    <row r="2375" spans="1:14" x14ac:dyDescent="0.25">
      <c r="A2375">
        <v>219</v>
      </c>
      <c r="B2375" s="1">
        <v>44033</v>
      </c>
      <c r="C2375" t="s">
        <v>348</v>
      </c>
      <c r="D2375" t="s">
        <v>68</v>
      </c>
      <c r="F2375" t="s">
        <v>404</v>
      </c>
      <c r="G2375">
        <v>2</v>
      </c>
      <c r="H2375">
        <v>70</v>
      </c>
      <c r="I2375">
        <f t="shared" si="1157"/>
        <v>140</v>
      </c>
      <c r="J2375" t="s">
        <v>395</v>
      </c>
      <c r="M2375" t="str">
        <f t="shared" si="1158"/>
        <v/>
      </c>
      <c r="N2375" t="str">
        <f t="shared" si="1159"/>
        <v/>
      </c>
    </row>
    <row r="2376" spans="1:14" x14ac:dyDescent="0.25">
      <c r="A2376">
        <v>220</v>
      </c>
      <c r="B2376" s="1">
        <v>44033</v>
      </c>
      <c r="C2376" t="s">
        <v>348</v>
      </c>
      <c r="D2376" t="s">
        <v>15</v>
      </c>
      <c r="F2376" t="s">
        <v>28</v>
      </c>
      <c r="G2376">
        <f>2/9</f>
        <v>0.22222222222222221</v>
      </c>
      <c r="H2376">
        <v>240</v>
      </c>
      <c r="I2376">
        <f t="shared" si="1157"/>
        <v>53.333333333333329</v>
      </c>
      <c r="J2376" t="s">
        <v>163</v>
      </c>
      <c r="K2376">
        <v>217</v>
      </c>
      <c r="M2376">
        <f t="shared" si="1158"/>
        <v>48.222222222222221</v>
      </c>
      <c r="N2376">
        <f t="shared" si="1159"/>
        <v>5.1111111111111072</v>
      </c>
    </row>
    <row r="2377" spans="1:14" x14ac:dyDescent="0.25">
      <c r="A2377">
        <v>221</v>
      </c>
      <c r="B2377" s="1">
        <v>44033</v>
      </c>
      <c r="C2377" t="s">
        <v>348</v>
      </c>
      <c r="D2377" t="s">
        <v>15</v>
      </c>
      <c r="F2377" t="s">
        <v>359</v>
      </c>
      <c r="G2377">
        <v>12.5</v>
      </c>
      <c r="H2377">
        <v>280</v>
      </c>
      <c r="I2377">
        <f t="shared" si="1157"/>
        <v>3500</v>
      </c>
      <c r="J2377" t="s">
        <v>167</v>
      </c>
      <c r="K2377">
        <v>247</v>
      </c>
      <c r="M2377">
        <f t="shared" si="1158"/>
        <v>3087.5</v>
      </c>
      <c r="N2377">
        <f t="shared" si="1159"/>
        <v>412.5</v>
      </c>
    </row>
    <row r="2378" spans="1:14" x14ac:dyDescent="0.25">
      <c r="A2378">
        <v>222</v>
      </c>
      <c r="B2378" s="1">
        <v>44033</v>
      </c>
      <c r="C2378" t="s">
        <v>348</v>
      </c>
      <c r="D2378" t="s">
        <v>56</v>
      </c>
      <c r="F2378" t="s">
        <v>267</v>
      </c>
      <c r="G2378">
        <v>2</v>
      </c>
      <c r="H2378">
        <v>170</v>
      </c>
      <c r="I2378">
        <f t="shared" si="1157"/>
        <v>340</v>
      </c>
      <c r="J2378" t="s">
        <v>163</v>
      </c>
      <c r="K2378">
        <v>123</v>
      </c>
      <c r="M2378">
        <f t="shared" si="1158"/>
        <v>246</v>
      </c>
      <c r="N2378">
        <f t="shared" si="1159"/>
        <v>94</v>
      </c>
    </row>
    <row r="2379" spans="1:14" x14ac:dyDescent="0.25">
      <c r="A2379">
        <v>223</v>
      </c>
      <c r="B2379" s="1">
        <v>44033</v>
      </c>
      <c r="C2379" t="s">
        <v>348</v>
      </c>
      <c r="D2379" t="s">
        <v>92</v>
      </c>
      <c r="F2379" t="s">
        <v>91</v>
      </c>
      <c r="G2379">
        <v>1</v>
      </c>
      <c r="H2379">
        <v>45</v>
      </c>
      <c r="I2379">
        <f t="shared" si="1157"/>
        <v>45</v>
      </c>
      <c r="J2379" t="s">
        <v>166</v>
      </c>
      <c r="M2379" t="str">
        <f t="shared" si="1158"/>
        <v/>
      </c>
      <c r="N2379" t="str">
        <f t="shared" si="1159"/>
        <v/>
      </c>
    </row>
    <row r="2380" spans="1:14" x14ac:dyDescent="0.25">
      <c r="A2380">
        <v>224</v>
      </c>
      <c r="B2380" s="1">
        <v>44033</v>
      </c>
      <c r="C2380" t="s">
        <v>348</v>
      </c>
      <c r="D2380" t="s">
        <v>407</v>
      </c>
      <c r="F2380" t="s">
        <v>405</v>
      </c>
      <c r="G2380">
        <v>1</v>
      </c>
      <c r="H2380">
        <v>230</v>
      </c>
      <c r="I2380">
        <f t="shared" si="1157"/>
        <v>230</v>
      </c>
      <c r="J2380" t="s">
        <v>166</v>
      </c>
      <c r="M2380" t="str">
        <f t="shared" si="1158"/>
        <v/>
      </c>
      <c r="N2380" t="str">
        <f t="shared" si="1159"/>
        <v/>
      </c>
    </row>
    <row r="2381" spans="1:14" x14ac:dyDescent="0.25">
      <c r="A2381">
        <v>225</v>
      </c>
      <c r="B2381" s="1">
        <v>44033</v>
      </c>
      <c r="C2381" t="s">
        <v>348</v>
      </c>
      <c r="D2381" t="s">
        <v>25</v>
      </c>
      <c r="F2381" t="s">
        <v>58</v>
      </c>
      <c r="G2381">
        <v>3</v>
      </c>
      <c r="H2381">
        <v>60</v>
      </c>
      <c r="I2381">
        <f t="shared" si="1157"/>
        <v>180</v>
      </c>
      <c r="J2381" t="s">
        <v>165</v>
      </c>
      <c r="K2381">
        <v>33</v>
      </c>
      <c r="M2381">
        <f t="shared" si="1158"/>
        <v>99</v>
      </c>
      <c r="N2381">
        <f t="shared" si="1159"/>
        <v>81</v>
      </c>
    </row>
    <row r="2382" spans="1:14" x14ac:dyDescent="0.25">
      <c r="A2382">
        <v>226</v>
      </c>
      <c r="B2382" s="1">
        <v>44033</v>
      </c>
      <c r="C2382" t="s">
        <v>348</v>
      </c>
      <c r="D2382" t="s">
        <v>15</v>
      </c>
      <c r="F2382" t="s">
        <v>388</v>
      </c>
      <c r="G2382">
        <v>2.11</v>
      </c>
      <c r="H2382">
        <v>240</v>
      </c>
      <c r="I2382">
        <f t="shared" si="1157"/>
        <v>506.4</v>
      </c>
      <c r="J2382" t="s">
        <v>163</v>
      </c>
      <c r="K2382">
        <v>205</v>
      </c>
      <c r="M2382">
        <f t="shared" si="1158"/>
        <v>432.54999999999995</v>
      </c>
      <c r="N2382">
        <f t="shared" si="1159"/>
        <v>73.850000000000023</v>
      </c>
    </row>
    <row r="2383" spans="1:14" x14ac:dyDescent="0.25">
      <c r="A2383">
        <v>227</v>
      </c>
      <c r="B2383" s="1">
        <v>44033</v>
      </c>
      <c r="C2383" t="s">
        <v>348</v>
      </c>
      <c r="D2383" t="s">
        <v>24</v>
      </c>
      <c r="F2383" t="s">
        <v>24</v>
      </c>
      <c r="G2383">
        <v>0.5</v>
      </c>
      <c r="H2383">
        <v>100</v>
      </c>
      <c r="I2383">
        <f t="shared" si="1157"/>
        <v>50</v>
      </c>
      <c r="J2383" t="s">
        <v>186</v>
      </c>
      <c r="K2383">
        <v>68.22</v>
      </c>
      <c r="M2383">
        <f t="shared" si="1158"/>
        <v>34.11</v>
      </c>
      <c r="N2383">
        <f t="shared" si="1159"/>
        <v>15.89</v>
      </c>
    </row>
    <row r="2384" spans="1:14" x14ac:dyDescent="0.25">
      <c r="A2384">
        <v>228</v>
      </c>
      <c r="B2384" s="1">
        <v>44033</v>
      </c>
      <c r="C2384" t="s">
        <v>348</v>
      </c>
      <c r="D2384" t="s">
        <v>15</v>
      </c>
      <c r="F2384" t="s">
        <v>28</v>
      </c>
      <c r="G2384">
        <v>7</v>
      </c>
      <c r="H2384">
        <v>240</v>
      </c>
      <c r="I2384">
        <f t="shared" si="1157"/>
        <v>1680</v>
      </c>
      <c r="J2384" t="s">
        <v>163</v>
      </c>
      <c r="K2384">
        <v>217</v>
      </c>
      <c r="M2384">
        <f t="shared" si="1158"/>
        <v>1519</v>
      </c>
      <c r="N2384">
        <f t="shared" si="1159"/>
        <v>161</v>
      </c>
    </row>
    <row r="2385" spans="1:14" x14ac:dyDescent="0.25">
      <c r="A2385">
        <v>229</v>
      </c>
      <c r="B2385" s="1">
        <v>44033</v>
      </c>
      <c r="C2385" t="s">
        <v>348</v>
      </c>
      <c r="D2385" t="s">
        <v>15</v>
      </c>
      <c r="F2385" t="s">
        <v>31</v>
      </c>
      <c r="G2385">
        <v>3.06</v>
      </c>
      <c r="H2385">
        <v>280</v>
      </c>
      <c r="I2385">
        <f t="shared" si="1157"/>
        <v>856.80000000000007</v>
      </c>
      <c r="J2385" t="s">
        <v>163</v>
      </c>
      <c r="K2385">
        <v>247</v>
      </c>
      <c r="M2385">
        <f t="shared" si="1158"/>
        <v>755.82</v>
      </c>
      <c r="N2385">
        <f t="shared" si="1159"/>
        <v>100.98000000000002</v>
      </c>
    </row>
    <row r="2386" spans="1:14" x14ac:dyDescent="0.25">
      <c r="A2386">
        <v>230</v>
      </c>
      <c r="B2386" s="1">
        <v>44033</v>
      </c>
      <c r="C2386" t="s">
        <v>348</v>
      </c>
      <c r="D2386" t="s">
        <v>56</v>
      </c>
      <c r="F2386" t="s">
        <v>267</v>
      </c>
      <c r="G2386">
        <v>10</v>
      </c>
      <c r="H2386">
        <v>170</v>
      </c>
      <c r="I2386">
        <f t="shared" si="1157"/>
        <v>1700</v>
      </c>
      <c r="J2386" t="s">
        <v>163</v>
      </c>
      <c r="K2386">
        <v>123</v>
      </c>
      <c r="M2386">
        <f t="shared" si="1158"/>
        <v>1230</v>
      </c>
      <c r="N2386">
        <f t="shared" si="1159"/>
        <v>470</v>
      </c>
    </row>
    <row r="2387" spans="1:14" x14ac:dyDescent="0.25">
      <c r="A2387">
        <v>231</v>
      </c>
      <c r="B2387" s="1">
        <v>44033</v>
      </c>
      <c r="C2387" t="s">
        <v>348</v>
      </c>
      <c r="D2387" t="s">
        <v>15</v>
      </c>
      <c r="F2387" t="s">
        <v>20</v>
      </c>
      <c r="G2387">
        <v>11</v>
      </c>
      <c r="H2387">
        <v>250</v>
      </c>
      <c r="I2387">
        <f t="shared" si="1157"/>
        <v>2750</v>
      </c>
      <c r="J2387" t="s">
        <v>163</v>
      </c>
      <c r="K2387">
        <v>230</v>
      </c>
      <c r="M2387">
        <f t="shared" si="1158"/>
        <v>2530</v>
      </c>
      <c r="N2387">
        <f t="shared" si="1159"/>
        <v>220</v>
      </c>
    </row>
    <row r="2388" spans="1:14" x14ac:dyDescent="0.25">
      <c r="A2388">
        <v>232</v>
      </c>
      <c r="B2388" s="1">
        <v>44033</v>
      </c>
      <c r="C2388" t="s">
        <v>348</v>
      </c>
      <c r="D2388" t="s">
        <v>56</v>
      </c>
      <c r="F2388" t="s">
        <v>267</v>
      </c>
      <c r="G2388">
        <v>1</v>
      </c>
      <c r="H2388">
        <v>170</v>
      </c>
      <c r="I2388">
        <f t="shared" si="1157"/>
        <v>170</v>
      </c>
      <c r="J2388" t="s">
        <v>163</v>
      </c>
      <c r="K2388">
        <v>123</v>
      </c>
      <c r="M2388">
        <f t="shared" si="1158"/>
        <v>123</v>
      </c>
      <c r="N2388">
        <f t="shared" si="1159"/>
        <v>47</v>
      </c>
    </row>
    <row r="2389" spans="1:14" x14ac:dyDescent="0.25">
      <c r="A2389">
        <v>233</v>
      </c>
      <c r="B2389" s="1">
        <v>44033</v>
      </c>
      <c r="C2389" t="s">
        <v>348</v>
      </c>
      <c r="D2389" t="s">
        <v>55</v>
      </c>
      <c r="F2389" t="s">
        <v>22</v>
      </c>
      <c r="G2389">
        <v>2</v>
      </c>
      <c r="H2389">
        <v>300</v>
      </c>
      <c r="I2389">
        <f t="shared" si="1157"/>
        <v>600</v>
      </c>
      <c r="J2389" t="s">
        <v>167</v>
      </c>
      <c r="K2389">
        <v>268</v>
      </c>
      <c r="M2389">
        <f t="shared" si="1158"/>
        <v>536</v>
      </c>
      <c r="N2389">
        <f t="shared" si="1159"/>
        <v>64</v>
      </c>
    </row>
    <row r="2390" spans="1:14" x14ac:dyDescent="0.25">
      <c r="A2390">
        <v>234</v>
      </c>
      <c r="B2390" s="1">
        <v>44033</v>
      </c>
      <c r="C2390" t="s">
        <v>348</v>
      </c>
      <c r="D2390" t="s">
        <v>55</v>
      </c>
      <c r="F2390" t="s">
        <v>22</v>
      </c>
      <c r="G2390">
        <v>3</v>
      </c>
      <c r="H2390">
        <v>300</v>
      </c>
      <c r="I2390">
        <f t="shared" si="1157"/>
        <v>900</v>
      </c>
      <c r="J2390" t="s">
        <v>167</v>
      </c>
      <c r="K2390">
        <v>268</v>
      </c>
      <c r="M2390">
        <f t="shared" si="1158"/>
        <v>804</v>
      </c>
      <c r="N2390">
        <f t="shared" si="1159"/>
        <v>96</v>
      </c>
    </row>
    <row r="2391" spans="1:14" x14ac:dyDescent="0.25">
      <c r="A2391">
        <v>235</v>
      </c>
      <c r="B2391" s="1">
        <v>44033</v>
      </c>
      <c r="C2391" t="s">
        <v>348</v>
      </c>
      <c r="D2391" t="s">
        <v>55</v>
      </c>
      <c r="F2391" t="s">
        <v>398</v>
      </c>
      <c r="G2391">
        <v>1</v>
      </c>
      <c r="H2391">
        <v>270</v>
      </c>
      <c r="I2391">
        <f t="shared" si="1157"/>
        <v>270</v>
      </c>
      <c r="J2391" t="s">
        <v>167</v>
      </c>
      <c r="K2391">
        <v>207</v>
      </c>
      <c r="M2391">
        <f t="shared" si="1158"/>
        <v>207</v>
      </c>
      <c r="N2391">
        <f t="shared" si="1159"/>
        <v>63</v>
      </c>
    </row>
    <row r="2392" spans="1:14" x14ac:dyDescent="0.25">
      <c r="A2392">
        <v>236</v>
      </c>
      <c r="B2392" s="1">
        <v>44033</v>
      </c>
      <c r="C2392" t="s">
        <v>348</v>
      </c>
      <c r="D2392" t="s">
        <v>56</v>
      </c>
      <c r="F2392" t="s">
        <v>267</v>
      </c>
      <c r="G2392">
        <v>13</v>
      </c>
      <c r="H2392">
        <v>170</v>
      </c>
      <c r="I2392">
        <f t="shared" si="1157"/>
        <v>2210</v>
      </c>
      <c r="J2392" t="s">
        <v>163</v>
      </c>
      <c r="K2392">
        <v>123</v>
      </c>
      <c r="M2392">
        <f t="shared" si="1158"/>
        <v>1599</v>
      </c>
      <c r="N2392">
        <f t="shared" si="1159"/>
        <v>611</v>
      </c>
    </row>
    <row r="2393" spans="1:14" x14ac:dyDescent="0.25">
      <c r="A2393">
        <v>237</v>
      </c>
      <c r="B2393" s="1">
        <v>44033</v>
      </c>
      <c r="C2393" t="s">
        <v>348</v>
      </c>
      <c r="D2393" t="s">
        <v>24</v>
      </c>
      <c r="F2393" t="s">
        <v>24</v>
      </c>
      <c r="G2393">
        <v>6.4</v>
      </c>
      <c r="H2393">
        <v>100</v>
      </c>
      <c r="I2393">
        <f t="shared" ref="I2393:I2456" si="1160">+G2393*H2393</f>
        <v>640</v>
      </c>
      <c r="J2393" t="s">
        <v>186</v>
      </c>
      <c r="K2393">
        <v>68.22</v>
      </c>
      <c r="M2393">
        <f t="shared" si="1158"/>
        <v>436.608</v>
      </c>
      <c r="N2393">
        <f t="shared" si="1159"/>
        <v>203.392</v>
      </c>
    </row>
    <row r="2394" spans="1:14" x14ac:dyDescent="0.25">
      <c r="A2394">
        <v>238</v>
      </c>
      <c r="B2394" s="1">
        <v>44033</v>
      </c>
      <c r="C2394" t="s">
        <v>348</v>
      </c>
      <c r="D2394" t="s">
        <v>44</v>
      </c>
      <c r="F2394" t="s">
        <v>138</v>
      </c>
      <c r="G2394">
        <v>1</v>
      </c>
      <c r="H2394">
        <v>35</v>
      </c>
      <c r="I2394">
        <f t="shared" si="1160"/>
        <v>35</v>
      </c>
      <c r="J2394" t="s">
        <v>166</v>
      </c>
      <c r="K2394">
        <v>29</v>
      </c>
      <c r="M2394">
        <f t="shared" si="1158"/>
        <v>29</v>
      </c>
      <c r="N2394">
        <f t="shared" si="1159"/>
        <v>6</v>
      </c>
    </row>
    <row r="2395" spans="1:14" x14ac:dyDescent="0.25">
      <c r="A2395">
        <v>239</v>
      </c>
      <c r="B2395" s="1">
        <v>44033</v>
      </c>
      <c r="C2395" t="s">
        <v>348</v>
      </c>
      <c r="D2395" t="s">
        <v>15</v>
      </c>
      <c r="F2395" t="s">
        <v>29</v>
      </c>
      <c r="G2395">
        <v>40</v>
      </c>
      <c r="H2395">
        <v>240</v>
      </c>
      <c r="I2395">
        <f t="shared" si="1160"/>
        <v>9600</v>
      </c>
      <c r="J2395" t="s">
        <v>163</v>
      </c>
      <c r="K2395">
        <v>210</v>
      </c>
      <c r="M2395">
        <f t="shared" si="1158"/>
        <v>8400</v>
      </c>
      <c r="N2395">
        <f t="shared" si="1159"/>
        <v>1200</v>
      </c>
    </row>
    <row r="2396" spans="1:14" x14ac:dyDescent="0.25">
      <c r="A2396">
        <v>240</v>
      </c>
      <c r="B2396" s="1">
        <v>44033</v>
      </c>
      <c r="C2396" t="s">
        <v>348</v>
      </c>
      <c r="D2396" t="s">
        <v>15</v>
      </c>
      <c r="F2396" t="s">
        <v>20</v>
      </c>
      <c r="G2396">
        <v>18</v>
      </c>
      <c r="H2396">
        <v>250</v>
      </c>
      <c r="I2396">
        <f t="shared" si="1160"/>
        <v>4500</v>
      </c>
      <c r="J2396" t="s">
        <v>163</v>
      </c>
      <c r="K2396">
        <v>230</v>
      </c>
      <c r="M2396">
        <f t="shared" si="1158"/>
        <v>4140</v>
      </c>
      <c r="N2396">
        <f t="shared" si="1159"/>
        <v>360</v>
      </c>
    </row>
    <row r="2397" spans="1:14" x14ac:dyDescent="0.25">
      <c r="A2397">
        <v>241</v>
      </c>
      <c r="B2397" s="1">
        <v>44033</v>
      </c>
      <c r="C2397" t="s">
        <v>348</v>
      </c>
      <c r="D2397" t="s">
        <v>15</v>
      </c>
      <c r="F2397" t="s">
        <v>28</v>
      </c>
      <c r="G2397">
        <v>2</v>
      </c>
      <c r="H2397">
        <v>240</v>
      </c>
      <c r="I2397">
        <f t="shared" si="1160"/>
        <v>480</v>
      </c>
      <c r="J2397" t="s">
        <v>163</v>
      </c>
      <c r="K2397">
        <v>217</v>
      </c>
      <c r="M2397">
        <f t="shared" si="1158"/>
        <v>434</v>
      </c>
      <c r="N2397">
        <f t="shared" si="1159"/>
        <v>46</v>
      </c>
    </row>
    <row r="2398" spans="1:14" x14ac:dyDescent="0.25">
      <c r="A2398">
        <v>242</v>
      </c>
      <c r="B2398" s="1">
        <v>44033</v>
      </c>
      <c r="C2398" t="s">
        <v>348</v>
      </c>
      <c r="D2398" t="s">
        <v>56</v>
      </c>
      <c r="F2398" t="s">
        <v>38</v>
      </c>
      <c r="G2398">
        <v>1</v>
      </c>
      <c r="H2398">
        <v>100</v>
      </c>
      <c r="I2398">
        <f t="shared" si="1160"/>
        <v>100</v>
      </c>
      <c r="J2398" t="s">
        <v>164</v>
      </c>
      <c r="K2398">
        <v>70</v>
      </c>
      <c r="M2398">
        <f t="shared" si="1158"/>
        <v>70</v>
      </c>
      <c r="N2398">
        <f t="shared" si="1159"/>
        <v>30</v>
      </c>
    </row>
    <row r="2399" spans="1:14" x14ac:dyDescent="0.25">
      <c r="A2399">
        <v>243</v>
      </c>
      <c r="B2399" s="1">
        <v>44033</v>
      </c>
      <c r="C2399" t="s">
        <v>348</v>
      </c>
      <c r="D2399" t="s">
        <v>15</v>
      </c>
      <c r="F2399" t="s">
        <v>29</v>
      </c>
      <c r="G2399">
        <v>120</v>
      </c>
      <c r="H2399">
        <v>230</v>
      </c>
      <c r="I2399">
        <f t="shared" si="1160"/>
        <v>27600</v>
      </c>
      <c r="J2399" t="s">
        <v>163</v>
      </c>
      <c r="K2399">
        <v>210</v>
      </c>
      <c r="M2399">
        <f t="shared" si="1158"/>
        <v>25200</v>
      </c>
      <c r="N2399">
        <f t="shared" si="1159"/>
        <v>2400</v>
      </c>
    </row>
    <row r="2400" spans="1:14" x14ac:dyDescent="0.25">
      <c r="A2400">
        <v>244</v>
      </c>
      <c r="B2400" s="1">
        <v>44033</v>
      </c>
      <c r="C2400" t="s">
        <v>348</v>
      </c>
      <c r="D2400" t="s">
        <v>55</v>
      </c>
      <c r="F2400" t="s">
        <v>89</v>
      </c>
      <c r="G2400">
        <v>20</v>
      </c>
      <c r="H2400">
        <v>300</v>
      </c>
      <c r="I2400">
        <f t="shared" si="1160"/>
        <v>6000</v>
      </c>
      <c r="J2400" t="s">
        <v>167</v>
      </c>
      <c r="K2400">
        <v>268</v>
      </c>
      <c r="M2400">
        <f t="shared" si="1158"/>
        <v>5360</v>
      </c>
      <c r="N2400">
        <f t="shared" si="1159"/>
        <v>640</v>
      </c>
    </row>
    <row r="2401" spans="1:14" x14ac:dyDescent="0.25">
      <c r="A2401">
        <v>245</v>
      </c>
      <c r="B2401" s="1">
        <v>44033</v>
      </c>
      <c r="C2401" t="s">
        <v>348</v>
      </c>
      <c r="D2401" t="s">
        <v>44</v>
      </c>
      <c r="F2401" t="s">
        <v>138</v>
      </c>
      <c r="G2401">
        <v>3</v>
      </c>
      <c r="H2401">
        <v>35</v>
      </c>
      <c r="I2401">
        <f t="shared" si="1160"/>
        <v>105</v>
      </c>
      <c r="J2401" t="s">
        <v>166</v>
      </c>
      <c r="K2401">
        <v>29</v>
      </c>
      <c r="M2401">
        <f t="shared" si="1158"/>
        <v>87</v>
      </c>
      <c r="N2401">
        <f t="shared" si="1159"/>
        <v>18</v>
      </c>
    </row>
    <row r="2402" spans="1:14" x14ac:dyDescent="0.25">
      <c r="A2402">
        <v>246</v>
      </c>
      <c r="B2402" s="1">
        <v>44033</v>
      </c>
      <c r="C2402" t="s">
        <v>348</v>
      </c>
      <c r="D2402" t="s">
        <v>70</v>
      </c>
      <c r="F2402" t="s">
        <v>151</v>
      </c>
      <c r="G2402">
        <v>1</v>
      </c>
      <c r="H2402">
        <v>1850</v>
      </c>
      <c r="I2402">
        <f t="shared" si="1160"/>
        <v>1850</v>
      </c>
      <c r="J2402" t="s">
        <v>167</v>
      </c>
      <c r="K2402">
        <v>1580</v>
      </c>
      <c r="M2402">
        <f t="shared" si="1158"/>
        <v>1580</v>
      </c>
      <c r="N2402">
        <f t="shared" si="1159"/>
        <v>270</v>
      </c>
    </row>
    <row r="2403" spans="1:14" x14ac:dyDescent="0.25">
      <c r="A2403">
        <v>247</v>
      </c>
      <c r="B2403" s="1">
        <v>44033</v>
      </c>
      <c r="C2403" t="s">
        <v>348</v>
      </c>
      <c r="D2403" t="s">
        <v>85</v>
      </c>
      <c r="F2403" t="s">
        <v>406</v>
      </c>
      <c r="G2403">
        <v>1</v>
      </c>
      <c r="H2403">
        <v>1400</v>
      </c>
      <c r="I2403">
        <f t="shared" si="1160"/>
        <v>1400</v>
      </c>
      <c r="J2403" t="s">
        <v>167</v>
      </c>
      <c r="K2403">
        <v>780</v>
      </c>
      <c r="M2403">
        <f t="shared" si="1158"/>
        <v>780</v>
      </c>
      <c r="N2403">
        <f t="shared" si="1159"/>
        <v>620</v>
      </c>
    </row>
    <row r="2404" spans="1:14" x14ac:dyDescent="0.25">
      <c r="A2404">
        <v>248</v>
      </c>
      <c r="B2404" s="1">
        <v>44033</v>
      </c>
      <c r="C2404" t="s">
        <v>348</v>
      </c>
      <c r="D2404" t="s">
        <v>25</v>
      </c>
      <c r="F2404" t="s">
        <v>148</v>
      </c>
      <c r="G2404">
        <v>15</v>
      </c>
      <c r="H2404">
        <v>60</v>
      </c>
      <c r="I2404">
        <f t="shared" si="1160"/>
        <v>900</v>
      </c>
      <c r="J2404" t="s">
        <v>165</v>
      </c>
      <c r="K2404">
        <v>33</v>
      </c>
      <c r="M2404">
        <f t="shared" si="1158"/>
        <v>495</v>
      </c>
      <c r="N2404">
        <f t="shared" si="1159"/>
        <v>405</v>
      </c>
    </row>
    <row r="2405" spans="1:14" x14ac:dyDescent="0.25">
      <c r="A2405">
        <v>249</v>
      </c>
      <c r="B2405" s="1">
        <v>44033</v>
      </c>
      <c r="C2405" t="s">
        <v>348</v>
      </c>
      <c r="D2405" t="s">
        <v>25</v>
      </c>
      <c r="F2405" t="s">
        <v>58</v>
      </c>
      <c r="G2405">
        <v>5</v>
      </c>
      <c r="H2405">
        <v>60</v>
      </c>
      <c r="I2405">
        <f t="shared" si="1160"/>
        <v>300</v>
      </c>
      <c r="J2405" t="s">
        <v>165</v>
      </c>
      <c r="K2405">
        <v>33</v>
      </c>
      <c r="M2405">
        <f t="shared" si="1158"/>
        <v>165</v>
      </c>
      <c r="N2405">
        <f t="shared" si="1159"/>
        <v>135</v>
      </c>
    </row>
    <row r="2406" spans="1:14" x14ac:dyDescent="0.25">
      <c r="A2406">
        <v>250</v>
      </c>
      <c r="B2406" s="1">
        <v>44033</v>
      </c>
      <c r="C2406" t="s">
        <v>348</v>
      </c>
      <c r="D2406" t="s">
        <v>92</v>
      </c>
      <c r="F2406" t="s">
        <v>275</v>
      </c>
      <c r="G2406">
        <v>1</v>
      </c>
      <c r="H2406">
        <v>180</v>
      </c>
      <c r="I2406">
        <f t="shared" si="1160"/>
        <v>180</v>
      </c>
      <c r="J2406" t="s">
        <v>166</v>
      </c>
      <c r="M2406" t="str">
        <f t="shared" si="1158"/>
        <v/>
      </c>
      <c r="N2406" t="str">
        <f t="shared" si="1159"/>
        <v/>
      </c>
    </row>
    <row r="2407" spans="1:14" x14ac:dyDescent="0.25">
      <c r="A2407">
        <v>251</v>
      </c>
      <c r="B2407" s="1">
        <v>44033</v>
      </c>
      <c r="C2407" t="s">
        <v>348</v>
      </c>
      <c r="D2407" t="s">
        <v>92</v>
      </c>
      <c r="F2407" t="s">
        <v>354</v>
      </c>
      <c r="G2407">
        <v>1</v>
      </c>
      <c r="H2407">
        <v>150</v>
      </c>
      <c r="I2407">
        <f t="shared" si="1160"/>
        <v>150</v>
      </c>
      <c r="J2407" t="s">
        <v>166</v>
      </c>
      <c r="M2407" t="str">
        <f t="shared" si="1158"/>
        <v/>
      </c>
      <c r="N2407" t="str">
        <f t="shared" si="1159"/>
        <v/>
      </c>
    </row>
    <row r="2408" spans="1:14" x14ac:dyDescent="0.25">
      <c r="A2408">
        <v>252</v>
      </c>
      <c r="B2408" s="1">
        <v>44033</v>
      </c>
      <c r="C2408" t="s">
        <v>348</v>
      </c>
      <c r="D2408" t="s">
        <v>56</v>
      </c>
      <c r="F2408" t="s">
        <v>267</v>
      </c>
      <c r="G2408">
        <v>40</v>
      </c>
      <c r="H2408">
        <v>170</v>
      </c>
      <c r="I2408">
        <f t="shared" si="1160"/>
        <v>6800</v>
      </c>
      <c r="J2408" t="s">
        <v>163</v>
      </c>
      <c r="K2408">
        <v>123</v>
      </c>
      <c r="M2408">
        <f t="shared" si="1158"/>
        <v>4920</v>
      </c>
      <c r="N2408">
        <f t="shared" si="1159"/>
        <v>1880</v>
      </c>
    </row>
    <row r="2409" spans="1:14" x14ac:dyDescent="0.25">
      <c r="A2409">
        <v>253</v>
      </c>
      <c r="B2409" s="1">
        <v>44033</v>
      </c>
      <c r="C2409" t="s">
        <v>348</v>
      </c>
      <c r="D2409" t="s">
        <v>25</v>
      </c>
      <c r="F2409" t="s">
        <v>137</v>
      </c>
      <c r="G2409">
        <v>1</v>
      </c>
      <c r="H2409">
        <v>60</v>
      </c>
      <c r="I2409">
        <f t="shared" si="1160"/>
        <v>60</v>
      </c>
      <c r="J2409" t="s">
        <v>165</v>
      </c>
      <c r="K2409">
        <v>33</v>
      </c>
      <c r="M2409">
        <f t="shared" si="1158"/>
        <v>33</v>
      </c>
      <c r="N2409">
        <f t="shared" si="1159"/>
        <v>27</v>
      </c>
    </row>
    <row r="2410" spans="1:14" x14ac:dyDescent="0.25">
      <c r="A2410">
        <v>254</v>
      </c>
      <c r="B2410" s="1">
        <v>44033</v>
      </c>
      <c r="C2410" t="s">
        <v>348</v>
      </c>
      <c r="D2410" t="s">
        <v>55</v>
      </c>
      <c r="F2410" t="s">
        <v>97</v>
      </c>
      <c r="G2410">
        <v>4</v>
      </c>
      <c r="H2410">
        <v>240</v>
      </c>
      <c r="I2410">
        <f t="shared" si="1160"/>
        <v>960</v>
      </c>
      <c r="J2410" t="s">
        <v>167</v>
      </c>
      <c r="K2410">
        <v>207</v>
      </c>
      <c r="M2410">
        <f t="shared" si="1158"/>
        <v>828</v>
      </c>
      <c r="N2410">
        <f t="shared" si="1159"/>
        <v>132</v>
      </c>
    </row>
    <row r="2411" spans="1:14" x14ac:dyDescent="0.25">
      <c r="A2411">
        <v>255</v>
      </c>
      <c r="B2411" s="1">
        <v>44033</v>
      </c>
      <c r="C2411" t="s">
        <v>348</v>
      </c>
      <c r="D2411" t="s">
        <v>25</v>
      </c>
      <c r="F2411" t="s">
        <v>148</v>
      </c>
      <c r="G2411">
        <v>2</v>
      </c>
      <c r="H2411">
        <v>60</v>
      </c>
      <c r="I2411">
        <f t="shared" si="1160"/>
        <v>120</v>
      </c>
      <c r="J2411" t="s">
        <v>165</v>
      </c>
      <c r="K2411">
        <v>33</v>
      </c>
      <c r="M2411">
        <f t="shared" si="1158"/>
        <v>66</v>
      </c>
      <c r="N2411">
        <f t="shared" si="1159"/>
        <v>54</v>
      </c>
    </row>
    <row r="2412" spans="1:14" x14ac:dyDescent="0.25">
      <c r="A2412">
        <v>256</v>
      </c>
      <c r="B2412" s="1">
        <v>44033</v>
      </c>
      <c r="C2412" t="s">
        <v>348</v>
      </c>
      <c r="D2412" t="s">
        <v>55</v>
      </c>
      <c r="F2412" t="s">
        <v>22</v>
      </c>
      <c r="G2412">
        <v>1</v>
      </c>
      <c r="H2412">
        <v>300</v>
      </c>
      <c r="I2412">
        <f t="shared" si="1160"/>
        <v>300</v>
      </c>
      <c r="J2412" t="s">
        <v>167</v>
      </c>
      <c r="K2412">
        <v>268</v>
      </c>
      <c r="M2412">
        <f t="shared" si="1158"/>
        <v>268</v>
      </c>
      <c r="N2412">
        <f t="shared" si="1159"/>
        <v>32</v>
      </c>
    </row>
    <row r="2413" spans="1:14" x14ac:dyDescent="0.25">
      <c r="A2413">
        <v>257</v>
      </c>
      <c r="B2413" s="1">
        <v>44034</v>
      </c>
      <c r="C2413" t="s">
        <v>348</v>
      </c>
      <c r="D2413" t="s">
        <v>55</v>
      </c>
      <c r="F2413" t="s">
        <v>22</v>
      </c>
      <c r="G2413">
        <v>4</v>
      </c>
      <c r="H2413">
        <v>300</v>
      </c>
      <c r="I2413">
        <f t="shared" si="1160"/>
        <v>1200</v>
      </c>
      <c r="J2413" t="s">
        <v>167</v>
      </c>
      <c r="K2413">
        <v>268</v>
      </c>
      <c r="M2413">
        <f t="shared" si="1158"/>
        <v>1072</v>
      </c>
      <c r="N2413">
        <f t="shared" si="1159"/>
        <v>128</v>
      </c>
    </row>
    <row r="2414" spans="1:14" x14ac:dyDescent="0.25">
      <c r="A2414">
        <v>258</v>
      </c>
      <c r="B2414" s="1">
        <v>44034</v>
      </c>
      <c r="C2414" t="s">
        <v>348</v>
      </c>
      <c r="D2414" t="s">
        <v>55</v>
      </c>
      <c r="F2414" t="s">
        <v>111</v>
      </c>
      <c r="G2414">
        <v>1</v>
      </c>
      <c r="H2414">
        <v>300</v>
      </c>
      <c r="I2414">
        <f t="shared" si="1160"/>
        <v>300</v>
      </c>
      <c r="J2414" t="s">
        <v>167</v>
      </c>
      <c r="K2414">
        <v>268</v>
      </c>
      <c r="M2414">
        <f t="shared" si="1158"/>
        <v>268</v>
      </c>
      <c r="N2414">
        <f t="shared" si="1159"/>
        <v>32</v>
      </c>
    </row>
    <row r="2415" spans="1:14" x14ac:dyDescent="0.25">
      <c r="A2415">
        <v>259</v>
      </c>
      <c r="B2415" s="1">
        <v>44034</v>
      </c>
      <c r="C2415" t="s">
        <v>348</v>
      </c>
      <c r="D2415" t="s">
        <v>44</v>
      </c>
      <c r="F2415" t="s">
        <v>138</v>
      </c>
      <c r="G2415">
        <v>1</v>
      </c>
      <c r="H2415">
        <v>35</v>
      </c>
      <c r="I2415">
        <f t="shared" si="1160"/>
        <v>35</v>
      </c>
      <c r="J2415" t="s">
        <v>166</v>
      </c>
      <c r="K2415">
        <v>29</v>
      </c>
      <c r="M2415">
        <f t="shared" si="1158"/>
        <v>29</v>
      </c>
      <c r="N2415">
        <f t="shared" si="1159"/>
        <v>6</v>
      </c>
    </row>
    <row r="2416" spans="1:14" x14ac:dyDescent="0.25">
      <c r="A2416">
        <v>260</v>
      </c>
      <c r="B2416" s="1">
        <v>44034</v>
      </c>
      <c r="C2416" t="s">
        <v>348</v>
      </c>
      <c r="D2416" t="s">
        <v>25</v>
      </c>
      <c r="F2416" t="s">
        <v>203</v>
      </c>
      <c r="G2416">
        <v>1</v>
      </c>
      <c r="H2416">
        <v>100</v>
      </c>
      <c r="I2416">
        <f t="shared" si="1160"/>
        <v>100</v>
      </c>
      <c r="J2416" t="s">
        <v>163</v>
      </c>
      <c r="K2416">
        <v>70</v>
      </c>
      <c r="M2416">
        <f t="shared" si="1158"/>
        <v>70</v>
      </c>
      <c r="N2416">
        <f t="shared" si="1159"/>
        <v>30</v>
      </c>
    </row>
    <row r="2417" spans="1:14" x14ac:dyDescent="0.25">
      <c r="A2417">
        <v>261</v>
      </c>
      <c r="B2417" s="1">
        <v>44034</v>
      </c>
      <c r="C2417" t="s">
        <v>348</v>
      </c>
      <c r="D2417" t="s">
        <v>24</v>
      </c>
      <c r="F2417" t="s">
        <v>24</v>
      </c>
      <c r="G2417">
        <v>3.2</v>
      </c>
      <c r="H2417">
        <v>100</v>
      </c>
      <c r="I2417">
        <f t="shared" si="1160"/>
        <v>320</v>
      </c>
      <c r="J2417" t="s">
        <v>186</v>
      </c>
      <c r="K2417">
        <v>68.22</v>
      </c>
      <c r="M2417">
        <f t="shared" si="1158"/>
        <v>218.304</v>
      </c>
      <c r="N2417">
        <f t="shared" si="1159"/>
        <v>101.696</v>
      </c>
    </row>
    <row r="2418" spans="1:14" x14ac:dyDescent="0.25">
      <c r="A2418">
        <v>262</v>
      </c>
      <c r="B2418" s="1">
        <v>44034</v>
      </c>
      <c r="C2418" t="s">
        <v>348</v>
      </c>
      <c r="D2418" t="s">
        <v>55</v>
      </c>
      <c r="F2418" t="s">
        <v>378</v>
      </c>
      <c r="G2418">
        <v>2</v>
      </c>
      <c r="H2418">
        <v>270</v>
      </c>
      <c r="I2418">
        <f t="shared" si="1160"/>
        <v>540</v>
      </c>
      <c r="J2418" t="s">
        <v>167</v>
      </c>
      <c r="K2418">
        <v>207</v>
      </c>
      <c r="M2418">
        <f t="shared" si="1158"/>
        <v>414</v>
      </c>
      <c r="N2418">
        <f t="shared" si="1159"/>
        <v>126</v>
      </c>
    </row>
    <row r="2419" spans="1:14" x14ac:dyDescent="0.25">
      <c r="A2419">
        <v>263</v>
      </c>
      <c r="B2419" s="1">
        <v>44034</v>
      </c>
      <c r="C2419" t="s">
        <v>348</v>
      </c>
      <c r="D2419" t="s">
        <v>15</v>
      </c>
      <c r="F2419" t="s">
        <v>28</v>
      </c>
      <c r="G2419">
        <f>16/9</f>
        <v>1.7777777777777777</v>
      </c>
      <c r="H2419">
        <v>240</v>
      </c>
      <c r="I2419">
        <f t="shared" si="1160"/>
        <v>426.66666666666663</v>
      </c>
      <c r="J2419" t="s">
        <v>163</v>
      </c>
      <c r="K2419">
        <v>217</v>
      </c>
      <c r="M2419">
        <f t="shared" si="1158"/>
        <v>385.77777777777777</v>
      </c>
      <c r="N2419">
        <f t="shared" si="1159"/>
        <v>40.888888888888857</v>
      </c>
    </row>
    <row r="2420" spans="1:14" x14ac:dyDescent="0.25">
      <c r="A2420">
        <v>264</v>
      </c>
      <c r="B2420" s="1">
        <v>44034</v>
      </c>
      <c r="C2420" t="s">
        <v>348</v>
      </c>
      <c r="D2420" t="s">
        <v>55</v>
      </c>
      <c r="F2420" t="s">
        <v>22</v>
      </c>
      <c r="G2420">
        <f>10/17</f>
        <v>0.58823529411764708</v>
      </c>
      <c r="H2420">
        <v>300</v>
      </c>
      <c r="I2420">
        <f t="shared" si="1160"/>
        <v>176.47058823529412</v>
      </c>
      <c r="J2420" t="s">
        <v>167</v>
      </c>
      <c r="K2420">
        <v>268</v>
      </c>
      <c r="M2420">
        <f t="shared" si="1158"/>
        <v>157.64705882352942</v>
      </c>
      <c r="N2420">
        <f t="shared" si="1159"/>
        <v>18.823529411764696</v>
      </c>
    </row>
    <row r="2421" spans="1:14" x14ac:dyDescent="0.25">
      <c r="A2421">
        <v>265</v>
      </c>
      <c r="B2421" s="1">
        <v>44034</v>
      </c>
      <c r="C2421" t="s">
        <v>348</v>
      </c>
      <c r="D2421" t="s">
        <v>55</v>
      </c>
      <c r="F2421" t="s">
        <v>408</v>
      </c>
      <c r="G2421">
        <f>14.5+(1/12)</f>
        <v>14.583333333333334</v>
      </c>
      <c r="H2421">
        <v>300</v>
      </c>
      <c r="I2421">
        <f t="shared" si="1160"/>
        <v>4375</v>
      </c>
      <c r="J2421" t="s">
        <v>167</v>
      </c>
      <c r="K2421">
        <v>268</v>
      </c>
      <c r="M2421">
        <f t="shared" si="1158"/>
        <v>3908.3333333333335</v>
      </c>
      <c r="N2421">
        <f t="shared" si="1159"/>
        <v>466.66666666666652</v>
      </c>
    </row>
    <row r="2422" spans="1:14" x14ac:dyDescent="0.25">
      <c r="A2422">
        <v>266</v>
      </c>
      <c r="B2422" s="1">
        <v>44034</v>
      </c>
      <c r="C2422" t="s">
        <v>348</v>
      </c>
      <c r="D2422" t="s">
        <v>25</v>
      </c>
      <c r="F2422" t="s">
        <v>148</v>
      </c>
      <c r="G2422">
        <v>4</v>
      </c>
      <c r="H2422">
        <v>60</v>
      </c>
      <c r="I2422">
        <f t="shared" si="1160"/>
        <v>240</v>
      </c>
      <c r="J2422" t="s">
        <v>165</v>
      </c>
      <c r="K2422">
        <v>33</v>
      </c>
      <c r="M2422">
        <f t="shared" si="1158"/>
        <v>132</v>
      </c>
      <c r="N2422">
        <f t="shared" si="1159"/>
        <v>108</v>
      </c>
    </row>
    <row r="2423" spans="1:14" x14ac:dyDescent="0.25">
      <c r="A2423">
        <v>267</v>
      </c>
      <c r="B2423" s="1">
        <v>44034</v>
      </c>
      <c r="C2423" t="s">
        <v>348</v>
      </c>
      <c r="D2423" t="s">
        <v>55</v>
      </c>
      <c r="F2423" t="s">
        <v>247</v>
      </c>
      <c r="G2423">
        <v>1.5</v>
      </c>
      <c r="H2423">
        <v>300</v>
      </c>
      <c r="I2423">
        <f t="shared" si="1160"/>
        <v>450</v>
      </c>
      <c r="J2423" t="s">
        <v>13</v>
      </c>
      <c r="K2423">
        <v>280</v>
      </c>
      <c r="M2423">
        <f t="shared" si="1158"/>
        <v>420</v>
      </c>
      <c r="N2423">
        <f t="shared" si="1159"/>
        <v>30</v>
      </c>
    </row>
    <row r="2424" spans="1:14" x14ac:dyDescent="0.25">
      <c r="A2424">
        <v>268</v>
      </c>
      <c r="B2424" s="1">
        <v>44035</v>
      </c>
      <c r="C2424" t="s">
        <v>348</v>
      </c>
      <c r="D2424" t="s">
        <v>24</v>
      </c>
      <c r="F2424" t="s">
        <v>24</v>
      </c>
      <c r="G2424">
        <v>9.6</v>
      </c>
      <c r="H2424">
        <v>100</v>
      </c>
      <c r="I2424">
        <f t="shared" si="1160"/>
        <v>960</v>
      </c>
      <c r="J2424" t="s">
        <v>186</v>
      </c>
      <c r="K2424">
        <v>68.22</v>
      </c>
      <c r="M2424">
        <f t="shared" si="1158"/>
        <v>654.91199999999992</v>
      </c>
      <c r="N2424">
        <f t="shared" si="1159"/>
        <v>305.08800000000008</v>
      </c>
    </row>
    <row r="2425" spans="1:14" x14ac:dyDescent="0.25">
      <c r="A2425">
        <v>269</v>
      </c>
      <c r="B2425" s="1">
        <v>44035</v>
      </c>
      <c r="C2425" t="s">
        <v>348</v>
      </c>
      <c r="D2425" t="s">
        <v>56</v>
      </c>
      <c r="F2425" t="s">
        <v>267</v>
      </c>
      <c r="G2425">
        <v>1</v>
      </c>
      <c r="H2425">
        <v>170</v>
      </c>
      <c r="I2425">
        <f t="shared" si="1160"/>
        <v>170</v>
      </c>
      <c r="J2425" t="s">
        <v>163</v>
      </c>
      <c r="K2425">
        <v>123</v>
      </c>
      <c r="M2425">
        <f t="shared" si="1158"/>
        <v>123</v>
      </c>
      <c r="N2425">
        <f t="shared" si="1159"/>
        <v>47</v>
      </c>
    </row>
    <row r="2426" spans="1:14" x14ac:dyDescent="0.25">
      <c r="A2426">
        <v>270</v>
      </c>
      <c r="B2426" s="1">
        <v>44035</v>
      </c>
      <c r="C2426" t="s">
        <v>348</v>
      </c>
      <c r="D2426" t="s">
        <v>15</v>
      </c>
      <c r="F2426" t="s">
        <v>153</v>
      </c>
      <c r="G2426">
        <f>4/9</f>
        <v>0.44444444444444442</v>
      </c>
      <c r="H2426">
        <v>280</v>
      </c>
      <c r="I2426">
        <f t="shared" si="1160"/>
        <v>124.44444444444444</v>
      </c>
      <c r="J2426" t="s">
        <v>163</v>
      </c>
      <c r="K2426">
        <v>220</v>
      </c>
      <c r="M2426">
        <f t="shared" si="1158"/>
        <v>97.777777777777771</v>
      </c>
      <c r="N2426">
        <f t="shared" si="1159"/>
        <v>26.666666666666671</v>
      </c>
    </row>
    <row r="2427" spans="1:14" x14ac:dyDescent="0.25">
      <c r="A2427">
        <v>271</v>
      </c>
      <c r="B2427" s="1">
        <v>44035</v>
      </c>
      <c r="C2427" t="s">
        <v>348</v>
      </c>
      <c r="D2427" t="s">
        <v>25</v>
      </c>
      <c r="F2427" t="s">
        <v>60</v>
      </c>
      <c r="G2427">
        <v>6</v>
      </c>
      <c r="H2427">
        <v>60</v>
      </c>
      <c r="I2427">
        <f t="shared" si="1160"/>
        <v>360</v>
      </c>
      <c r="J2427" t="s">
        <v>165</v>
      </c>
      <c r="K2427">
        <v>33</v>
      </c>
      <c r="M2427">
        <f t="shared" si="1158"/>
        <v>198</v>
      </c>
      <c r="N2427">
        <f t="shared" si="1159"/>
        <v>162</v>
      </c>
    </row>
    <row r="2428" spans="1:14" x14ac:dyDescent="0.25">
      <c r="A2428">
        <v>272</v>
      </c>
      <c r="B2428" s="1">
        <v>44035</v>
      </c>
      <c r="C2428" t="s">
        <v>348</v>
      </c>
      <c r="D2428" t="s">
        <v>70</v>
      </c>
      <c r="F2428" t="s">
        <v>227</v>
      </c>
      <c r="G2428">
        <v>1</v>
      </c>
      <c r="H2428">
        <v>1650</v>
      </c>
      <c r="I2428">
        <f t="shared" si="1160"/>
        <v>1650</v>
      </c>
      <c r="J2428" t="s">
        <v>167</v>
      </c>
      <c r="K2428">
        <v>1440</v>
      </c>
      <c r="M2428">
        <f t="shared" si="1158"/>
        <v>1440</v>
      </c>
      <c r="N2428">
        <f t="shared" si="1159"/>
        <v>210</v>
      </c>
    </row>
    <row r="2429" spans="1:14" x14ac:dyDescent="0.25">
      <c r="A2429">
        <v>273</v>
      </c>
      <c r="B2429" s="1">
        <v>44035</v>
      </c>
      <c r="C2429" t="s">
        <v>348</v>
      </c>
      <c r="D2429" t="s">
        <v>70</v>
      </c>
      <c r="F2429" t="s">
        <v>152</v>
      </c>
      <c r="G2429">
        <v>1</v>
      </c>
      <c r="H2429">
        <v>85</v>
      </c>
      <c r="I2429">
        <f t="shared" si="1160"/>
        <v>85</v>
      </c>
      <c r="J2429" t="s">
        <v>163</v>
      </c>
      <c r="K2429">
        <v>70</v>
      </c>
      <c r="M2429">
        <f t="shared" si="1158"/>
        <v>70</v>
      </c>
      <c r="N2429">
        <f t="shared" si="1159"/>
        <v>15</v>
      </c>
    </row>
    <row r="2430" spans="1:14" x14ac:dyDescent="0.25">
      <c r="A2430">
        <v>274</v>
      </c>
      <c r="B2430" s="1">
        <v>44035</v>
      </c>
      <c r="C2430" t="s">
        <v>348</v>
      </c>
      <c r="D2430" t="s">
        <v>55</v>
      </c>
      <c r="F2430" t="s">
        <v>22</v>
      </c>
      <c r="G2430">
        <f>10/17</f>
        <v>0.58823529411764708</v>
      </c>
      <c r="H2430">
        <v>300</v>
      </c>
      <c r="I2430">
        <f t="shared" si="1160"/>
        <v>176.47058823529412</v>
      </c>
      <c r="J2430" t="s">
        <v>167</v>
      </c>
      <c r="K2430">
        <v>268</v>
      </c>
      <c r="M2430">
        <f t="shared" si="1158"/>
        <v>157.64705882352942</v>
      </c>
      <c r="N2430">
        <f t="shared" si="1159"/>
        <v>18.823529411764696</v>
      </c>
    </row>
    <row r="2431" spans="1:14" x14ac:dyDescent="0.25">
      <c r="A2431">
        <v>275</v>
      </c>
      <c r="B2431" s="1">
        <v>44035</v>
      </c>
      <c r="C2431" t="s">
        <v>348</v>
      </c>
      <c r="D2431" t="s">
        <v>70</v>
      </c>
      <c r="F2431" t="s">
        <v>227</v>
      </c>
      <c r="G2431">
        <v>1</v>
      </c>
      <c r="H2431">
        <v>1650</v>
      </c>
      <c r="I2431">
        <f t="shared" si="1160"/>
        <v>1650</v>
      </c>
      <c r="J2431" t="s">
        <v>167</v>
      </c>
      <c r="K2431">
        <v>1440</v>
      </c>
      <c r="M2431">
        <f t="shared" si="1158"/>
        <v>1440</v>
      </c>
      <c r="N2431">
        <f t="shared" si="1159"/>
        <v>210</v>
      </c>
    </row>
    <row r="2432" spans="1:14" x14ac:dyDescent="0.25">
      <c r="A2432">
        <v>276</v>
      </c>
      <c r="B2432" s="1">
        <v>44036</v>
      </c>
      <c r="C2432" t="s">
        <v>348</v>
      </c>
      <c r="D2432" t="s">
        <v>44</v>
      </c>
      <c r="F2432" t="s">
        <v>387</v>
      </c>
      <c r="G2432">
        <v>2</v>
      </c>
      <c r="H2432">
        <v>35</v>
      </c>
      <c r="I2432">
        <f t="shared" si="1160"/>
        <v>70</v>
      </c>
      <c r="J2432" t="s">
        <v>166</v>
      </c>
      <c r="K2432">
        <v>20</v>
      </c>
      <c r="M2432">
        <f t="shared" si="1158"/>
        <v>40</v>
      </c>
      <c r="N2432">
        <f t="shared" si="1159"/>
        <v>30</v>
      </c>
    </row>
    <row r="2433" spans="1:14" x14ac:dyDescent="0.25">
      <c r="A2433">
        <v>277</v>
      </c>
      <c r="B2433" s="1">
        <v>44036</v>
      </c>
      <c r="C2433" t="s">
        <v>348</v>
      </c>
      <c r="D2433" t="s">
        <v>25</v>
      </c>
      <c r="F2433" t="s">
        <v>130</v>
      </c>
      <c r="G2433">
        <v>3</v>
      </c>
      <c r="H2433">
        <v>60</v>
      </c>
      <c r="I2433">
        <f t="shared" si="1160"/>
        <v>180</v>
      </c>
      <c r="J2433" t="s">
        <v>165</v>
      </c>
      <c r="K2433">
        <v>33</v>
      </c>
      <c r="M2433">
        <f t="shared" si="1158"/>
        <v>99</v>
      </c>
      <c r="N2433">
        <f t="shared" si="1159"/>
        <v>81</v>
      </c>
    </row>
    <row r="2434" spans="1:14" x14ac:dyDescent="0.25">
      <c r="A2434">
        <v>278</v>
      </c>
      <c r="B2434" s="1">
        <v>44036</v>
      </c>
      <c r="C2434" t="s">
        <v>348</v>
      </c>
      <c r="D2434" t="s">
        <v>56</v>
      </c>
      <c r="F2434" t="s">
        <v>267</v>
      </c>
      <c r="G2434">
        <v>5</v>
      </c>
      <c r="H2434">
        <v>170</v>
      </c>
      <c r="I2434">
        <f t="shared" si="1160"/>
        <v>850</v>
      </c>
      <c r="J2434" t="s">
        <v>163</v>
      </c>
      <c r="K2434">
        <v>123</v>
      </c>
      <c r="M2434">
        <f t="shared" si="1158"/>
        <v>615</v>
      </c>
      <c r="N2434">
        <f t="shared" si="1159"/>
        <v>235</v>
      </c>
    </row>
    <row r="2435" spans="1:14" x14ac:dyDescent="0.25">
      <c r="A2435">
        <v>279</v>
      </c>
      <c r="B2435" s="1">
        <v>44036</v>
      </c>
      <c r="C2435" t="s">
        <v>348</v>
      </c>
      <c r="D2435" t="s">
        <v>55</v>
      </c>
      <c r="F2435" t="s">
        <v>313</v>
      </c>
      <c r="G2435">
        <f>22/16</f>
        <v>1.375</v>
      </c>
      <c r="H2435">
        <v>270</v>
      </c>
      <c r="I2435">
        <f t="shared" si="1160"/>
        <v>371.25</v>
      </c>
      <c r="J2435" t="s">
        <v>167</v>
      </c>
      <c r="K2435">
        <v>207</v>
      </c>
      <c r="M2435">
        <f t="shared" si="1158"/>
        <v>284.625</v>
      </c>
      <c r="N2435">
        <f t="shared" si="1159"/>
        <v>86.625</v>
      </c>
    </row>
    <row r="2436" spans="1:14" x14ac:dyDescent="0.25">
      <c r="A2436">
        <v>280</v>
      </c>
      <c r="B2436" s="1">
        <v>44036</v>
      </c>
      <c r="C2436" t="s">
        <v>348</v>
      </c>
      <c r="D2436" t="s">
        <v>15</v>
      </c>
      <c r="F2436" t="s">
        <v>20</v>
      </c>
      <c r="G2436">
        <f>6/8*1.54</f>
        <v>1.155</v>
      </c>
      <c r="H2436">
        <v>260</v>
      </c>
      <c r="I2436">
        <f t="shared" si="1160"/>
        <v>300.3</v>
      </c>
      <c r="J2436" t="s">
        <v>163</v>
      </c>
      <c r="K2436">
        <v>230</v>
      </c>
      <c r="M2436">
        <f t="shared" si="1158"/>
        <v>265.65000000000003</v>
      </c>
      <c r="N2436">
        <f t="shared" si="1159"/>
        <v>34.649999999999977</v>
      </c>
    </row>
    <row r="2437" spans="1:14" x14ac:dyDescent="0.25">
      <c r="A2437">
        <v>281</v>
      </c>
      <c r="B2437" s="1">
        <v>44036</v>
      </c>
      <c r="C2437" t="s">
        <v>348</v>
      </c>
      <c r="D2437" t="s">
        <v>55</v>
      </c>
      <c r="F2437" t="s">
        <v>111</v>
      </c>
      <c r="G2437">
        <f>9/17</f>
        <v>0.52941176470588236</v>
      </c>
      <c r="H2437">
        <v>300</v>
      </c>
      <c r="I2437">
        <f t="shared" si="1160"/>
        <v>158.8235294117647</v>
      </c>
      <c r="J2437" t="s">
        <v>167</v>
      </c>
      <c r="K2437">
        <v>268</v>
      </c>
      <c r="M2437">
        <f t="shared" ref="M2437:M2500" si="1161">+IF(K2437=0,(""),(K2437*G2437))</f>
        <v>141.88235294117646</v>
      </c>
      <c r="N2437">
        <f t="shared" ref="N2437:N2500" si="1162">+IF(K2437=0,(""),(I2437-M2437))</f>
        <v>16.941176470588232</v>
      </c>
    </row>
    <row r="2438" spans="1:14" x14ac:dyDescent="0.25">
      <c r="A2438">
        <v>282</v>
      </c>
      <c r="B2438" s="1">
        <v>44036</v>
      </c>
      <c r="C2438" t="s">
        <v>348</v>
      </c>
      <c r="D2438" t="s">
        <v>24</v>
      </c>
      <c r="F2438" t="s">
        <v>24</v>
      </c>
      <c r="G2438">
        <v>3.2</v>
      </c>
      <c r="H2438">
        <v>100</v>
      </c>
      <c r="I2438">
        <f t="shared" si="1160"/>
        <v>320</v>
      </c>
      <c r="J2438" t="s">
        <v>186</v>
      </c>
      <c r="K2438">
        <v>68.22</v>
      </c>
      <c r="M2438">
        <f t="shared" si="1161"/>
        <v>218.304</v>
      </c>
      <c r="N2438">
        <f t="shared" si="1162"/>
        <v>101.696</v>
      </c>
    </row>
    <row r="2439" spans="1:14" x14ac:dyDescent="0.25">
      <c r="A2439">
        <v>283</v>
      </c>
      <c r="B2439" s="1">
        <v>44036</v>
      </c>
      <c r="C2439" t="s">
        <v>348</v>
      </c>
      <c r="D2439" t="s">
        <v>78</v>
      </c>
      <c r="F2439" t="s">
        <v>79</v>
      </c>
      <c r="G2439">
        <v>1</v>
      </c>
      <c r="H2439">
        <v>1550</v>
      </c>
      <c r="I2439">
        <f t="shared" si="1160"/>
        <v>1550</v>
      </c>
      <c r="J2439" t="s">
        <v>167</v>
      </c>
      <c r="K2439">
        <v>1330</v>
      </c>
      <c r="M2439">
        <f t="shared" si="1161"/>
        <v>1330</v>
      </c>
      <c r="N2439">
        <f t="shared" si="1162"/>
        <v>220</v>
      </c>
    </row>
    <row r="2440" spans="1:14" x14ac:dyDescent="0.25">
      <c r="A2440">
        <v>284</v>
      </c>
      <c r="B2440" s="1">
        <v>44036</v>
      </c>
      <c r="C2440" t="s">
        <v>348</v>
      </c>
      <c r="D2440" t="s">
        <v>78</v>
      </c>
      <c r="F2440" t="s">
        <v>266</v>
      </c>
      <c r="G2440">
        <v>1</v>
      </c>
      <c r="H2440">
        <v>820</v>
      </c>
      <c r="I2440">
        <f t="shared" si="1160"/>
        <v>820</v>
      </c>
      <c r="J2440" t="s">
        <v>166</v>
      </c>
      <c r="K2440">
        <v>550</v>
      </c>
      <c r="M2440">
        <f t="shared" si="1161"/>
        <v>550</v>
      </c>
      <c r="N2440">
        <f t="shared" si="1162"/>
        <v>270</v>
      </c>
    </row>
    <row r="2441" spans="1:14" x14ac:dyDescent="0.25">
      <c r="A2441">
        <v>285</v>
      </c>
      <c r="B2441" s="1">
        <v>44036</v>
      </c>
      <c r="C2441" t="s">
        <v>348</v>
      </c>
      <c r="D2441" t="s">
        <v>85</v>
      </c>
      <c r="F2441" t="s">
        <v>152</v>
      </c>
      <c r="G2441">
        <v>2</v>
      </c>
      <c r="H2441">
        <v>85</v>
      </c>
      <c r="I2441">
        <f t="shared" si="1160"/>
        <v>170</v>
      </c>
      <c r="J2441" t="s">
        <v>163</v>
      </c>
      <c r="K2441">
        <v>70</v>
      </c>
      <c r="M2441">
        <f t="shared" si="1161"/>
        <v>140</v>
      </c>
      <c r="N2441">
        <f t="shared" si="1162"/>
        <v>30</v>
      </c>
    </row>
    <row r="2442" spans="1:14" x14ac:dyDescent="0.25">
      <c r="A2442">
        <v>286</v>
      </c>
      <c r="B2442" s="1">
        <v>44036</v>
      </c>
      <c r="C2442" t="s">
        <v>348</v>
      </c>
      <c r="D2442" t="s">
        <v>78</v>
      </c>
      <c r="F2442" t="s">
        <v>409</v>
      </c>
      <c r="G2442">
        <v>1</v>
      </c>
      <c r="H2442">
        <v>100</v>
      </c>
      <c r="I2442">
        <f t="shared" si="1160"/>
        <v>100</v>
      </c>
      <c r="J2442" t="s">
        <v>198</v>
      </c>
      <c r="K2442">
        <v>80</v>
      </c>
      <c r="M2442">
        <f t="shared" si="1161"/>
        <v>80</v>
      </c>
      <c r="N2442">
        <f t="shared" si="1162"/>
        <v>20</v>
      </c>
    </row>
    <row r="2443" spans="1:14" x14ac:dyDescent="0.25">
      <c r="A2443">
        <v>287</v>
      </c>
      <c r="B2443" s="1">
        <v>44036</v>
      </c>
      <c r="C2443" t="s">
        <v>348</v>
      </c>
      <c r="D2443" t="s">
        <v>15</v>
      </c>
      <c r="F2443" t="s">
        <v>401</v>
      </c>
      <c r="G2443">
        <v>2</v>
      </c>
      <c r="H2443">
        <v>300</v>
      </c>
      <c r="I2443">
        <f t="shared" si="1160"/>
        <v>600</v>
      </c>
      <c r="J2443" t="s">
        <v>167</v>
      </c>
      <c r="K2443">
        <v>268</v>
      </c>
      <c r="M2443">
        <f t="shared" si="1161"/>
        <v>536</v>
      </c>
      <c r="N2443">
        <f t="shared" si="1162"/>
        <v>64</v>
      </c>
    </row>
    <row r="2444" spans="1:14" x14ac:dyDescent="0.25">
      <c r="A2444">
        <v>288</v>
      </c>
      <c r="B2444" s="1">
        <v>44036</v>
      </c>
      <c r="C2444" t="s">
        <v>348</v>
      </c>
      <c r="D2444" t="s">
        <v>15</v>
      </c>
      <c r="F2444" t="s">
        <v>401</v>
      </c>
      <c r="G2444">
        <v>10</v>
      </c>
      <c r="H2444">
        <v>295</v>
      </c>
      <c r="I2444">
        <f t="shared" si="1160"/>
        <v>2950</v>
      </c>
      <c r="J2444" t="s">
        <v>167</v>
      </c>
      <c r="K2444">
        <v>268</v>
      </c>
      <c r="M2444">
        <f t="shared" si="1161"/>
        <v>2680</v>
      </c>
      <c r="N2444">
        <f t="shared" si="1162"/>
        <v>270</v>
      </c>
    </row>
    <row r="2445" spans="1:14" x14ac:dyDescent="0.25">
      <c r="A2445">
        <v>289</v>
      </c>
      <c r="B2445" s="1">
        <v>44036</v>
      </c>
      <c r="C2445" t="s">
        <v>348</v>
      </c>
      <c r="D2445" t="s">
        <v>15</v>
      </c>
      <c r="F2445" t="s">
        <v>312</v>
      </c>
      <c r="G2445">
        <v>2</v>
      </c>
      <c r="H2445">
        <v>295</v>
      </c>
      <c r="I2445">
        <f t="shared" si="1160"/>
        <v>590</v>
      </c>
      <c r="J2445" t="s">
        <v>167</v>
      </c>
      <c r="K2445">
        <v>268</v>
      </c>
      <c r="M2445">
        <f t="shared" si="1161"/>
        <v>536</v>
      </c>
      <c r="N2445">
        <f t="shared" si="1162"/>
        <v>54</v>
      </c>
    </row>
    <row r="2446" spans="1:14" x14ac:dyDescent="0.25">
      <c r="A2446">
        <v>290</v>
      </c>
      <c r="B2446" s="1">
        <v>44036</v>
      </c>
      <c r="C2446" t="s">
        <v>348</v>
      </c>
      <c r="D2446" t="s">
        <v>24</v>
      </c>
      <c r="F2446" t="s">
        <v>24</v>
      </c>
      <c r="G2446">
        <v>2</v>
      </c>
      <c r="H2446">
        <v>100</v>
      </c>
      <c r="I2446">
        <f t="shared" si="1160"/>
        <v>200</v>
      </c>
      <c r="J2446" t="s">
        <v>186</v>
      </c>
      <c r="K2446">
        <v>68.22</v>
      </c>
      <c r="M2446">
        <f t="shared" si="1161"/>
        <v>136.44</v>
      </c>
      <c r="N2446">
        <f t="shared" si="1162"/>
        <v>63.56</v>
      </c>
    </row>
    <row r="2447" spans="1:14" x14ac:dyDescent="0.25">
      <c r="A2447">
        <v>291</v>
      </c>
      <c r="B2447" s="1">
        <v>44036</v>
      </c>
      <c r="C2447" t="s">
        <v>348</v>
      </c>
      <c r="D2447" t="s">
        <v>56</v>
      </c>
      <c r="F2447" t="s">
        <v>267</v>
      </c>
      <c r="G2447">
        <v>4</v>
      </c>
      <c r="H2447">
        <v>170</v>
      </c>
      <c r="I2447">
        <f t="shared" si="1160"/>
        <v>680</v>
      </c>
      <c r="J2447" t="s">
        <v>163</v>
      </c>
      <c r="K2447">
        <v>123</v>
      </c>
      <c r="M2447">
        <f t="shared" si="1161"/>
        <v>492</v>
      </c>
      <c r="N2447">
        <f t="shared" si="1162"/>
        <v>188</v>
      </c>
    </row>
    <row r="2448" spans="1:14" x14ac:dyDescent="0.25">
      <c r="A2448">
        <v>292</v>
      </c>
      <c r="B2448" s="1">
        <v>44037</v>
      </c>
      <c r="C2448" t="s">
        <v>348</v>
      </c>
      <c r="D2448" t="s">
        <v>70</v>
      </c>
      <c r="F2448" t="s">
        <v>227</v>
      </c>
      <c r="G2448">
        <v>1</v>
      </c>
      <c r="H2448">
        <v>1650</v>
      </c>
      <c r="I2448">
        <f t="shared" si="1160"/>
        <v>1650</v>
      </c>
      <c r="J2448" t="s">
        <v>167</v>
      </c>
      <c r="K2448">
        <v>1440</v>
      </c>
      <c r="M2448">
        <f t="shared" si="1161"/>
        <v>1440</v>
      </c>
      <c r="N2448">
        <f t="shared" si="1162"/>
        <v>210</v>
      </c>
    </row>
    <row r="2449" spans="1:14" x14ac:dyDescent="0.25">
      <c r="A2449">
        <v>293</v>
      </c>
      <c r="B2449" s="1">
        <v>44037</v>
      </c>
      <c r="C2449" t="s">
        <v>348</v>
      </c>
      <c r="D2449" t="s">
        <v>56</v>
      </c>
      <c r="F2449" t="s">
        <v>38</v>
      </c>
      <c r="G2449">
        <v>7</v>
      </c>
      <c r="H2449">
        <v>100</v>
      </c>
      <c r="I2449">
        <f t="shared" si="1160"/>
        <v>700</v>
      </c>
      <c r="J2449" t="s">
        <v>164</v>
      </c>
      <c r="K2449">
        <v>70</v>
      </c>
      <c r="M2449">
        <f t="shared" si="1161"/>
        <v>490</v>
      </c>
      <c r="N2449">
        <f t="shared" si="1162"/>
        <v>210</v>
      </c>
    </row>
    <row r="2450" spans="1:14" x14ac:dyDescent="0.25">
      <c r="A2450">
        <v>294</v>
      </c>
      <c r="B2450" s="1">
        <v>44037</v>
      </c>
      <c r="C2450" t="s">
        <v>348</v>
      </c>
      <c r="D2450" t="s">
        <v>25</v>
      </c>
      <c r="F2450" t="s">
        <v>71</v>
      </c>
      <c r="G2450">
        <v>2</v>
      </c>
      <c r="H2450">
        <v>60</v>
      </c>
      <c r="I2450">
        <f t="shared" si="1160"/>
        <v>120</v>
      </c>
      <c r="J2450" t="s">
        <v>165</v>
      </c>
      <c r="K2450">
        <v>33</v>
      </c>
      <c r="M2450">
        <f t="shared" si="1161"/>
        <v>66</v>
      </c>
      <c r="N2450">
        <f t="shared" si="1162"/>
        <v>54</v>
      </c>
    </row>
    <row r="2451" spans="1:14" x14ac:dyDescent="0.25">
      <c r="A2451">
        <v>295</v>
      </c>
      <c r="B2451" s="1">
        <v>44037</v>
      </c>
      <c r="C2451" t="s">
        <v>348</v>
      </c>
      <c r="D2451" t="s">
        <v>55</v>
      </c>
      <c r="F2451" t="s">
        <v>313</v>
      </c>
      <c r="G2451">
        <f>10/16</f>
        <v>0.625</v>
      </c>
      <c r="H2451">
        <v>270</v>
      </c>
      <c r="I2451">
        <f t="shared" si="1160"/>
        <v>168.75</v>
      </c>
      <c r="J2451" t="s">
        <v>167</v>
      </c>
      <c r="K2451">
        <v>207</v>
      </c>
      <c r="M2451">
        <f t="shared" si="1161"/>
        <v>129.375</v>
      </c>
      <c r="N2451">
        <f t="shared" si="1162"/>
        <v>39.375</v>
      </c>
    </row>
    <row r="2452" spans="1:14" x14ac:dyDescent="0.25">
      <c r="A2452">
        <v>296</v>
      </c>
      <c r="B2452" s="1">
        <v>44037</v>
      </c>
      <c r="C2452" t="s">
        <v>348</v>
      </c>
      <c r="D2452" t="s">
        <v>44</v>
      </c>
      <c r="F2452" t="s">
        <v>138</v>
      </c>
      <c r="G2452">
        <v>2</v>
      </c>
      <c r="H2452">
        <v>35</v>
      </c>
      <c r="I2452">
        <f t="shared" si="1160"/>
        <v>70</v>
      </c>
      <c r="J2452" t="s">
        <v>166</v>
      </c>
      <c r="K2452">
        <v>29</v>
      </c>
      <c r="M2452">
        <f t="shared" si="1161"/>
        <v>58</v>
      </c>
      <c r="N2452">
        <f t="shared" si="1162"/>
        <v>12</v>
      </c>
    </row>
    <row r="2453" spans="1:14" x14ac:dyDescent="0.25">
      <c r="A2453">
        <v>297</v>
      </c>
      <c r="B2453" s="1">
        <v>44037</v>
      </c>
      <c r="C2453" t="s">
        <v>348</v>
      </c>
      <c r="D2453" t="s">
        <v>56</v>
      </c>
      <c r="F2453" t="s">
        <v>267</v>
      </c>
      <c r="G2453">
        <v>1</v>
      </c>
      <c r="H2453">
        <v>170</v>
      </c>
      <c r="I2453">
        <f t="shared" si="1160"/>
        <v>170</v>
      </c>
      <c r="J2453" t="s">
        <v>163</v>
      </c>
      <c r="K2453">
        <v>123</v>
      </c>
      <c r="M2453">
        <f t="shared" si="1161"/>
        <v>123</v>
      </c>
      <c r="N2453">
        <f t="shared" si="1162"/>
        <v>47</v>
      </c>
    </row>
    <row r="2454" spans="1:14" x14ac:dyDescent="0.25">
      <c r="A2454">
        <v>298</v>
      </c>
      <c r="B2454" s="1">
        <v>44037</v>
      </c>
      <c r="C2454" t="s">
        <v>348</v>
      </c>
      <c r="D2454" t="s">
        <v>44</v>
      </c>
      <c r="F2454" t="s">
        <v>382</v>
      </c>
      <c r="G2454">
        <v>1</v>
      </c>
      <c r="H2454">
        <v>35</v>
      </c>
      <c r="I2454">
        <f t="shared" si="1160"/>
        <v>35</v>
      </c>
      <c r="J2454" t="s">
        <v>166</v>
      </c>
      <c r="K2454">
        <v>22</v>
      </c>
      <c r="M2454">
        <f t="shared" si="1161"/>
        <v>22</v>
      </c>
      <c r="N2454">
        <f t="shared" si="1162"/>
        <v>13</v>
      </c>
    </row>
    <row r="2455" spans="1:14" x14ac:dyDescent="0.25">
      <c r="A2455">
        <v>299</v>
      </c>
      <c r="B2455" s="1">
        <v>44037</v>
      </c>
      <c r="C2455" t="s">
        <v>348</v>
      </c>
      <c r="D2455" t="s">
        <v>56</v>
      </c>
      <c r="F2455" t="s">
        <v>390</v>
      </c>
      <c r="G2455">
        <v>1</v>
      </c>
      <c r="H2455">
        <v>120</v>
      </c>
      <c r="I2455">
        <f t="shared" si="1160"/>
        <v>120</v>
      </c>
      <c r="J2455" t="s">
        <v>165</v>
      </c>
      <c r="K2455">
        <v>80</v>
      </c>
      <c r="M2455">
        <f t="shared" si="1161"/>
        <v>80</v>
      </c>
      <c r="N2455">
        <f t="shared" si="1162"/>
        <v>40</v>
      </c>
    </row>
    <row r="2456" spans="1:14" x14ac:dyDescent="0.25">
      <c r="A2456">
        <v>300</v>
      </c>
      <c r="B2456" s="1">
        <v>44037</v>
      </c>
      <c r="C2456" t="s">
        <v>348</v>
      </c>
      <c r="D2456" t="s">
        <v>55</v>
      </c>
      <c r="F2456" t="s">
        <v>22</v>
      </c>
      <c r="G2456">
        <f>5/17</f>
        <v>0.29411764705882354</v>
      </c>
      <c r="H2456">
        <v>300</v>
      </c>
      <c r="I2456">
        <f t="shared" si="1160"/>
        <v>88.235294117647058</v>
      </c>
      <c r="J2456" t="s">
        <v>167</v>
      </c>
      <c r="K2456">
        <v>268</v>
      </c>
      <c r="M2456">
        <f t="shared" si="1161"/>
        <v>78.82352941176471</v>
      </c>
      <c r="N2456">
        <f t="shared" si="1162"/>
        <v>9.4117647058823479</v>
      </c>
    </row>
    <row r="2457" spans="1:14" x14ac:dyDescent="0.25">
      <c r="A2457">
        <v>301</v>
      </c>
      <c r="B2457" s="1">
        <v>44037</v>
      </c>
      <c r="C2457" t="s">
        <v>348</v>
      </c>
      <c r="D2457" t="s">
        <v>25</v>
      </c>
      <c r="F2457" t="s">
        <v>57</v>
      </c>
      <c r="G2457">
        <v>3</v>
      </c>
      <c r="H2457">
        <v>60</v>
      </c>
      <c r="I2457">
        <f t="shared" ref="I2457:I2520" si="1163">+G2457*H2457</f>
        <v>180</v>
      </c>
      <c r="J2457" t="s">
        <v>165</v>
      </c>
      <c r="K2457">
        <v>33</v>
      </c>
      <c r="M2457">
        <f t="shared" si="1161"/>
        <v>99</v>
      </c>
      <c r="N2457">
        <f t="shared" si="1162"/>
        <v>81</v>
      </c>
    </row>
    <row r="2458" spans="1:14" x14ac:dyDescent="0.25">
      <c r="A2458">
        <v>302</v>
      </c>
      <c r="B2458" s="1">
        <v>44037</v>
      </c>
      <c r="C2458" t="s">
        <v>348</v>
      </c>
      <c r="D2458" t="s">
        <v>92</v>
      </c>
      <c r="F2458" t="s">
        <v>136</v>
      </c>
      <c r="G2458">
        <v>1</v>
      </c>
      <c r="H2458">
        <v>350</v>
      </c>
      <c r="I2458">
        <f t="shared" si="1163"/>
        <v>350</v>
      </c>
      <c r="J2458" t="s">
        <v>166</v>
      </c>
      <c r="M2458" t="str">
        <f t="shared" si="1161"/>
        <v/>
      </c>
      <c r="N2458" t="str">
        <f t="shared" si="1162"/>
        <v/>
      </c>
    </row>
    <row r="2459" spans="1:14" x14ac:dyDescent="0.25">
      <c r="A2459">
        <v>303</v>
      </c>
      <c r="B2459" s="1">
        <v>44037</v>
      </c>
      <c r="C2459" t="s">
        <v>348</v>
      </c>
      <c r="D2459" t="s">
        <v>15</v>
      </c>
      <c r="F2459" t="s">
        <v>397</v>
      </c>
      <c r="G2459">
        <v>14</v>
      </c>
      <c r="H2459">
        <v>250</v>
      </c>
      <c r="I2459">
        <f t="shared" si="1163"/>
        <v>3500</v>
      </c>
      <c r="J2459" t="s">
        <v>167</v>
      </c>
      <c r="K2459">
        <v>219</v>
      </c>
      <c r="M2459">
        <f t="shared" si="1161"/>
        <v>3066</v>
      </c>
      <c r="N2459">
        <f t="shared" si="1162"/>
        <v>434</v>
      </c>
    </row>
    <row r="2460" spans="1:14" x14ac:dyDescent="0.25">
      <c r="A2460">
        <v>304</v>
      </c>
      <c r="B2460" s="1">
        <v>44037</v>
      </c>
      <c r="C2460" t="s">
        <v>348</v>
      </c>
      <c r="D2460" t="s">
        <v>25</v>
      </c>
      <c r="F2460" t="s">
        <v>142</v>
      </c>
      <c r="G2460">
        <v>3</v>
      </c>
      <c r="H2460">
        <v>60</v>
      </c>
      <c r="I2460">
        <f t="shared" si="1163"/>
        <v>180</v>
      </c>
      <c r="J2460" t="s">
        <v>165</v>
      </c>
      <c r="K2460">
        <v>33</v>
      </c>
      <c r="M2460">
        <f t="shared" si="1161"/>
        <v>99</v>
      </c>
      <c r="N2460">
        <f t="shared" si="1162"/>
        <v>81</v>
      </c>
    </row>
    <row r="2461" spans="1:14" x14ac:dyDescent="0.25">
      <c r="A2461">
        <v>305</v>
      </c>
      <c r="B2461" s="1">
        <v>44037</v>
      </c>
      <c r="C2461" t="s">
        <v>348</v>
      </c>
      <c r="D2461" t="s">
        <v>15</v>
      </c>
      <c r="F2461" t="s">
        <v>343</v>
      </c>
      <c r="G2461">
        <f>6/10</f>
        <v>0.6</v>
      </c>
      <c r="H2461">
        <v>300</v>
      </c>
      <c r="I2461">
        <f t="shared" si="1163"/>
        <v>180</v>
      </c>
      <c r="J2461" t="s">
        <v>167</v>
      </c>
      <c r="K2461">
        <v>219</v>
      </c>
      <c r="M2461">
        <f t="shared" si="1161"/>
        <v>131.4</v>
      </c>
      <c r="N2461">
        <f t="shared" si="1162"/>
        <v>48.599999999999994</v>
      </c>
    </row>
    <row r="2462" spans="1:14" x14ac:dyDescent="0.25">
      <c r="A2462">
        <v>306</v>
      </c>
      <c r="B2462" s="1">
        <v>44037</v>
      </c>
      <c r="C2462" t="s">
        <v>348</v>
      </c>
      <c r="D2462" t="s">
        <v>15</v>
      </c>
      <c r="F2462" t="s">
        <v>397</v>
      </c>
      <c r="G2462">
        <v>5</v>
      </c>
      <c r="H2462">
        <v>250</v>
      </c>
      <c r="I2462">
        <f t="shared" si="1163"/>
        <v>1250</v>
      </c>
      <c r="J2462" t="s">
        <v>167</v>
      </c>
      <c r="K2462">
        <v>219</v>
      </c>
      <c r="M2462">
        <f t="shared" si="1161"/>
        <v>1095</v>
      </c>
      <c r="N2462">
        <f t="shared" si="1162"/>
        <v>155</v>
      </c>
    </row>
    <row r="2463" spans="1:14" x14ac:dyDescent="0.25">
      <c r="A2463">
        <v>307</v>
      </c>
      <c r="B2463" s="1">
        <v>44037</v>
      </c>
      <c r="C2463" t="s">
        <v>348</v>
      </c>
      <c r="D2463" t="s">
        <v>15</v>
      </c>
      <c r="F2463" t="s">
        <v>19</v>
      </c>
      <c r="G2463">
        <v>2</v>
      </c>
      <c r="H2463">
        <v>300</v>
      </c>
      <c r="I2463">
        <f t="shared" si="1163"/>
        <v>600</v>
      </c>
      <c r="J2463" t="s">
        <v>167</v>
      </c>
      <c r="K2463">
        <v>268</v>
      </c>
      <c r="M2463">
        <f t="shared" si="1161"/>
        <v>536</v>
      </c>
      <c r="N2463">
        <f t="shared" si="1162"/>
        <v>64</v>
      </c>
    </row>
    <row r="2464" spans="1:14" x14ac:dyDescent="0.25">
      <c r="A2464">
        <v>308</v>
      </c>
      <c r="B2464" s="1">
        <v>44037</v>
      </c>
      <c r="C2464" t="s">
        <v>348</v>
      </c>
      <c r="D2464" t="s">
        <v>23</v>
      </c>
      <c r="F2464" t="s">
        <v>364</v>
      </c>
      <c r="G2464">
        <v>3</v>
      </c>
      <c r="H2464">
        <v>280</v>
      </c>
      <c r="I2464">
        <f t="shared" si="1163"/>
        <v>840</v>
      </c>
      <c r="J2464" t="s">
        <v>163</v>
      </c>
      <c r="K2464">
        <v>0</v>
      </c>
      <c r="M2464" t="str">
        <f t="shared" si="1161"/>
        <v/>
      </c>
      <c r="N2464" t="str">
        <f t="shared" si="1162"/>
        <v/>
      </c>
    </row>
    <row r="2465" spans="1:14" x14ac:dyDescent="0.25">
      <c r="A2465">
        <v>309</v>
      </c>
      <c r="B2465" s="1">
        <v>44039</v>
      </c>
      <c r="C2465" t="s">
        <v>348</v>
      </c>
      <c r="D2465" t="s">
        <v>15</v>
      </c>
      <c r="F2465" t="s">
        <v>397</v>
      </c>
      <c r="G2465">
        <v>2</v>
      </c>
      <c r="H2465">
        <v>250</v>
      </c>
      <c r="I2465">
        <f t="shared" si="1163"/>
        <v>500</v>
      </c>
      <c r="J2465" t="s">
        <v>167</v>
      </c>
      <c r="K2465">
        <v>219</v>
      </c>
      <c r="M2465">
        <f t="shared" si="1161"/>
        <v>438</v>
      </c>
      <c r="N2465">
        <f t="shared" si="1162"/>
        <v>62</v>
      </c>
    </row>
    <row r="2466" spans="1:14" x14ac:dyDescent="0.25">
      <c r="A2466">
        <v>310</v>
      </c>
      <c r="B2466" s="1">
        <v>44039</v>
      </c>
      <c r="C2466" t="s">
        <v>348</v>
      </c>
      <c r="D2466" t="s">
        <v>56</v>
      </c>
      <c r="F2466" t="s">
        <v>267</v>
      </c>
      <c r="G2466">
        <v>1</v>
      </c>
      <c r="H2466">
        <v>170</v>
      </c>
      <c r="I2466">
        <f t="shared" si="1163"/>
        <v>170</v>
      </c>
      <c r="J2466" t="s">
        <v>163</v>
      </c>
      <c r="K2466">
        <v>123</v>
      </c>
      <c r="M2466">
        <f t="shared" si="1161"/>
        <v>123</v>
      </c>
      <c r="N2466">
        <f t="shared" si="1162"/>
        <v>47</v>
      </c>
    </row>
    <row r="2467" spans="1:14" x14ac:dyDescent="0.25">
      <c r="A2467">
        <v>311</v>
      </c>
      <c r="B2467" s="1">
        <v>44039</v>
      </c>
      <c r="C2467" t="s">
        <v>348</v>
      </c>
      <c r="D2467" t="s">
        <v>26</v>
      </c>
      <c r="F2467" t="s">
        <v>47</v>
      </c>
      <c r="G2467">
        <v>95</v>
      </c>
      <c r="H2467">
        <v>340</v>
      </c>
      <c r="I2467">
        <f t="shared" si="1163"/>
        <v>32300</v>
      </c>
      <c r="J2467" t="s">
        <v>99</v>
      </c>
      <c r="K2467">
        <v>261</v>
      </c>
      <c r="M2467">
        <f t="shared" si="1161"/>
        <v>24795</v>
      </c>
      <c r="N2467">
        <f t="shared" si="1162"/>
        <v>7505</v>
      </c>
    </row>
    <row r="2468" spans="1:14" x14ac:dyDescent="0.25">
      <c r="A2468">
        <v>312</v>
      </c>
      <c r="B2468" s="1">
        <v>44039</v>
      </c>
      <c r="C2468" t="s">
        <v>348</v>
      </c>
      <c r="D2468" t="s">
        <v>25</v>
      </c>
      <c r="F2468" t="s">
        <v>57</v>
      </c>
      <c r="G2468">
        <v>12</v>
      </c>
      <c r="H2468">
        <v>60</v>
      </c>
      <c r="I2468">
        <f t="shared" si="1163"/>
        <v>720</v>
      </c>
      <c r="J2468" t="s">
        <v>165</v>
      </c>
      <c r="K2468">
        <v>33</v>
      </c>
      <c r="M2468">
        <f t="shared" si="1161"/>
        <v>396</v>
      </c>
      <c r="N2468">
        <f t="shared" si="1162"/>
        <v>324</v>
      </c>
    </row>
    <row r="2469" spans="1:14" x14ac:dyDescent="0.25">
      <c r="A2469">
        <v>313</v>
      </c>
      <c r="B2469" s="1">
        <v>44039</v>
      </c>
      <c r="C2469" t="s">
        <v>348</v>
      </c>
      <c r="D2469" t="s">
        <v>44</v>
      </c>
      <c r="F2469" t="s">
        <v>138</v>
      </c>
      <c r="G2469">
        <v>1</v>
      </c>
      <c r="H2469">
        <v>35</v>
      </c>
      <c r="I2469">
        <f t="shared" si="1163"/>
        <v>35</v>
      </c>
      <c r="J2469" t="s">
        <v>166</v>
      </c>
      <c r="K2469">
        <v>29</v>
      </c>
      <c r="M2469">
        <f t="shared" si="1161"/>
        <v>29</v>
      </c>
      <c r="N2469">
        <f t="shared" si="1162"/>
        <v>6</v>
      </c>
    </row>
    <row r="2470" spans="1:14" x14ac:dyDescent="0.25">
      <c r="A2470">
        <v>314</v>
      </c>
      <c r="B2470" s="1">
        <v>44039</v>
      </c>
      <c r="C2470" t="s">
        <v>348</v>
      </c>
      <c r="D2470" t="s">
        <v>56</v>
      </c>
      <c r="F2470" t="s">
        <v>267</v>
      </c>
      <c r="G2470">
        <v>3</v>
      </c>
      <c r="H2470">
        <v>170</v>
      </c>
      <c r="I2470">
        <f t="shared" si="1163"/>
        <v>510</v>
      </c>
      <c r="J2470" t="s">
        <v>163</v>
      </c>
      <c r="K2470">
        <v>123</v>
      </c>
      <c r="M2470">
        <f t="shared" si="1161"/>
        <v>369</v>
      </c>
      <c r="N2470">
        <f t="shared" si="1162"/>
        <v>141</v>
      </c>
    </row>
    <row r="2471" spans="1:14" x14ac:dyDescent="0.25">
      <c r="A2471">
        <v>315</v>
      </c>
      <c r="B2471" s="1">
        <v>44039</v>
      </c>
      <c r="C2471" t="s">
        <v>348</v>
      </c>
      <c r="D2471" t="s">
        <v>407</v>
      </c>
      <c r="F2471" t="s">
        <v>91</v>
      </c>
      <c r="G2471">
        <v>1</v>
      </c>
      <c r="H2471">
        <v>45</v>
      </c>
      <c r="I2471">
        <f t="shared" si="1163"/>
        <v>45</v>
      </c>
      <c r="J2471" t="s">
        <v>166</v>
      </c>
      <c r="M2471" t="str">
        <f t="shared" si="1161"/>
        <v/>
      </c>
      <c r="N2471" t="str">
        <f t="shared" si="1162"/>
        <v/>
      </c>
    </row>
    <row r="2472" spans="1:14" x14ac:dyDescent="0.25">
      <c r="A2472">
        <v>316</v>
      </c>
      <c r="B2472" s="1">
        <v>44039</v>
      </c>
      <c r="C2472" t="s">
        <v>348</v>
      </c>
      <c r="D2472" t="s">
        <v>56</v>
      </c>
      <c r="F2472" t="s">
        <v>267</v>
      </c>
      <c r="G2472">
        <v>12</v>
      </c>
      <c r="H2472">
        <v>170</v>
      </c>
      <c r="I2472">
        <f t="shared" si="1163"/>
        <v>2040</v>
      </c>
      <c r="J2472" t="s">
        <v>163</v>
      </c>
      <c r="K2472">
        <v>123</v>
      </c>
      <c r="M2472">
        <f t="shared" si="1161"/>
        <v>1476</v>
      </c>
      <c r="N2472">
        <f t="shared" si="1162"/>
        <v>564</v>
      </c>
    </row>
    <row r="2473" spans="1:14" x14ac:dyDescent="0.25">
      <c r="A2473">
        <v>317</v>
      </c>
      <c r="B2473" s="1">
        <v>44039</v>
      </c>
      <c r="C2473" t="s">
        <v>348</v>
      </c>
      <c r="D2473" t="s">
        <v>25</v>
      </c>
      <c r="F2473" t="s">
        <v>337</v>
      </c>
      <c r="G2473">
        <v>5</v>
      </c>
      <c r="H2473">
        <v>60</v>
      </c>
      <c r="I2473">
        <f t="shared" si="1163"/>
        <v>300</v>
      </c>
      <c r="J2473" t="s">
        <v>165</v>
      </c>
      <c r="K2473">
        <v>33</v>
      </c>
      <c r="M2473">
        <f t="shared" si="1161"/>
        <v>165</v>
      </c>
      <c r="N2473">
        <f t="shared" si="1162"/>
        <v>135</v>
      </c>
    </row>
    <row r="2474" spans="1:14" x14ac:dyDescent="0.25">
      <c r="A2474">
        <v>318</v>
      </c>
      <c r="B2474" s="1">
        <v>44039</v>
      </c>
      <c r="C2474" t="s">
        <v>348</v>
      </c>
      <c r="D2474" t="s">
        <v>44</v>
      </c>
      <c r="F2474" t="s">
        <v>138</v>
      </c>
      <c r="G2474">
        <v>2</v>
      </c>
      <c r="H2474">
        <v>35</v>
      </c>
      <c r="I2474">
        <f t="shared" si="1163"/>
        <v>70</v>
      </c>
      <c r="J2474" t="s">
        <v>166</v>
      </c>
      <c r="K2474">
        <v>29</v>
      </c>
      <c r="M2474">
        <f t="shared" si="1161"/>
        <v>58</v>
      </c>
      <c r="N2474">
        <f t="shared" si="1162"/>
        <v>12</v>
      </c>
    </row>
    <row r="2475" spans="1:14" x14ac:dyDescent="0.25">
      <c r="A2475">
        <v>319</v>
      </c>
      <c r="B2475" s="1">
        <v>44039</v>
      </c>
      <c r="C2475" t="s">
        <v>348</v>
      </c>
      <c r="D2475" t="s">
        <v>15</v>
      </c>
      <c r="F2475" t="s">
        <v>35</v>
      </c>
      <c r="G2475">
        <v>1.71</v>
      </c>
      <c r="H2475">
        <v>280</v>
      </c>
      <c r="I2475">
        <f t="shared" si="1163"/>
        <v>478.8</v>
      </c>
      <c r="J2475" t="s">
        <v>163</v>
      </c>
      <c r="K2475">
        <v>240</v>
      </c>
      <c r="M2475">
        <f t="shared" si="1161"/>
        <v>410.4</v>
      </c>
      <c r="N2475">
        <f t="shared" si="1162"/>
        <v>68.400000000000034</v>
      </c>
    </row>
    <row r="2476" spans="1:14" x14ac:dyDescent="0.25">
      <c r="A2476">
        <v>320</v>
      </c>
      <c r="B2476" s="1">
        <v>44039</v>
      </c>
      <c r="C2476" t="s">
        <v>348</v>
      </c>
      <c r="D2476" t="s">
        <v>70</v>
      </c>
      <c r="F2476" t="s">
        <v>290</v>
      </c>
      <c r="G2476">
        <v>1</v>
      </c>
      <c r="H2476">
        <v>400</v>
      </c>
      <c r="I2476">
        <f t="shared" si="1163"/>
        <v>400</v>
      </c>
      <c r="J2476" t="s">
        <v>167</v>
      </c>
      <c r="K2476">
        <v>311</v>
      </c>
      <c r="M2476">
        <f t="shared" si="1161"/>
        <v>311</v>
      </c>
      <c r="N2476">
        <f t="shared" si="1162"/>
        <v>89</v>
      </c>
    </row>
    <row r="2477" spans="1:14" x14ac:dyDescent="0.25">
      <c r="A2477">
        <v>321</v>
      </c>
      <c r="B2477" s="1">
        <v>44039</v>
      </c>
      <c r="C2477" t="s">
        <v>348</v>
      </c>
      <c r="D2477" t="s">
        <v>15</v>
      </c>
      <c r="F2477" t="s">
        <v>45</v>
      </c>
      <c r="G2477">
        <v>2</v>
      </c>
      <c r="H2477">
        <v>300</v>
      </c>
      <c r="I2477">
        <f t="shared" si="1163"/>
        <v>600</v>
      </c>
      <c r="J2477" t="s">
        <v>167</v>
      </c>
      <c r="K2477">
        <v>268</v>
      </c>
      <c r="M2477">
        <f t="shared" si="1161"/>
        <v>536</v>
      </c>
      <c r="N2477">
        <f t="shared" si="1162"/>
        <v>64</v>
      </c>
    </row>
    <row r="2478" spans="1:14" x14ac:dyDescent="0.25">
      <c r="A2478">
        <v>322</v>
      </c>
      <c r="B2478" s="1">
        <v>44039</v>
      </c>
      <c r="C2478" t="s">
        <v>348</v>
      </c>
      <c r="D2478" t="s">
        <v>15</v>
      </c>
      <c r="F2478" t="s">
        <v>397</v>
      </c>
      <c r="G2478">
        <v>2</v>
      </c>
      <c r="H2478">
        <v>250</v>
      </c>
      <c r="I2478">
        <f t="shared" si="1163"/>
        <v>500</v>
      </c>
      <c r="J2478" t="s">
        <v>167</v>
      </c>
      <c r="K2478">
        <v>219</v>
      </c>
      <c r="M2478">
        <f t="shared" si="1161"/>
        <v>438</v>
      </c>
      <c r="N2478">
        <f t="shared" si="1162"/>
        <v>62</v>
      </c>
    </row>
    <row r="2479" spans="1:14" x14ac:dyDescent="0.25">
      <c r="A2479">
        <v>323</v>
      </c>
      <c r="B2479" s="1">
        <v>44039</v>
      </c>
      <c r="C2479" t="s">
        <v>348</v>
      </c>
      <c r="D2479" t="s">
        <v>70</v>
      </c>
      <c r="F2479" t="s">
        <v>227</v>
      </c>
      <c r="G2479">
        <v>1</v>
      </c>
      <c r="H2479">
        <v>1650</v>
      </c>
      <c r="I2479">
        <f t="shared" si="1163"/>
        <v>1650</v>
      </c>
      <c r="J2479" t="s">
        <v>167</v>
      </c>
      <c r="K2479">
        <v>1440</v>
      </c>
      <c r="M2479">
        <f t="shared" si="1161"/>
        <v>1440</v>
      </c>
      <c r="N2479">
        <f t="shared" si="1162"/>
        <v>210</v>
      </c>
    </row>
    <row r="2480" spans="1:14" x14ac:dyDescent="0.25">
      <c r="A2480">
        <v>324</v>
      </c>
      <c r="B2480" s="1">
        <v>44039</v>
      </c>
      <c r="C2480" t="s">
        <v>348</v>
      </c>
      <c r="D2480" t="s">
        <v>85</v>
      </c>
      <c r="F2480" t="s">
        <v>216</v>
      </c>
      <c r="G2480">
        <v>1</v>
      </c>
      <c r="H2480">
        <v>900</v>
      </c>
      <c r="I2480">
        <f t="shared" si="1163"/>
        <v>900</v>
      </c>
      <c r="J2480" t="s">
        <v>167</v>
      </c>
      <c r="K2480">
        <v>480</v>
      </c>
      <c r="M2480">
        <f t="shared" si="1161"/>
        <v>480</v>
      </c>
      <c r="N2480">
        <f t="shared" si="1162"/>
        <v>420</v>
      </c>
    </row>
    <row r="2481" spans="1:14" x14ac:dyDescent="0.25">
      <c r="A2481">
        <v>325</v>
      </c>
      <c r="B2481" s="1">
        <v>44039</v>
      </c>
      <c r="C2481" t="s">
        <v>348</v>
      </c>
      <c r="D2481" t="s">
        <v>85</v>
      </c>
      <c r="F2481" t="s">
        <v>266</v>
      </c>
      <c r="G2481">
        <v>1</v>
      </c>
      <c r="H2481">
        <v>250</v>
      </c>
      <c r="I2481">
        <f t="shared" si="1163"/>
        <v>250</v>
      </c>
      <c r="J2481" t="s">
        <v>166</v>
      </c>
      <c r="M2481" t="str">
        <f t="shared" si="1161"/>
        <v/>
      </c>
      <c r="N2481" t="str">
        <f t="shared" si="1162"/>
        <v/>
      </c>
    </row>
    <row r="2482" spans="1:14" x14ac:dyDescent="0.25">
      <c r="A2482">
        <v>326</v>
      </c>
      <c r="B2482" s="1">
        <v>44040</v>
      </c>
      <c r="C2482" t="s">
        <v>348</v>
      </c>
      <c r="D2482" t="s">
        <v>15</v>
      </c>
      <c r="F2482" t="s">
        <v>410</v>
      </c>
      <c r="G2482">
        <v>1.22</v>
      </c>
      <c r="H2482">
        <v>360</v>
      </c>
      <c r="I2482">
        <f t="shared" si="1163"/>
        <v>439.2</v>
      </c>
      <c r="J2482" t="s">
        <v>167</v>
      </c>
      <c r="K2482">
        <v>306</v>
      </c>
      <c r="M2482">
        <f t="shared" si="1161"/>
        <v>373.32</v>
      </c>
      <c r="N2482">
        <f t="shared" si="1162"/>
        <v>65.88</v>
      </c>
    </row>
    <row r="2483" spans="1:14" x14ac:dyDescent="0.25">
      <c r="A2483">
        <v>327</v>
      </c>
      <c r="B2483" s="1">
        <v>44040</v>
      </c>
      <c r="C2483" t="s">
        <v>348</v>
      </c>
      <c r="D2483" t="s">
        <v>15</v>
      </c>
      <c r="F2483" t="s">
        <v>411</v>
      </c>
      <c r="G2483">
        <v>1.22</v>
      </c>
      <c r="H2483">
        <v>360</v>
      </c>
      <c r="I2483">
        <f t="shared" si="1163"/>
        <v>439.2</v>
      </c>
      <c r="J2483" t="s">
        <v>167</v>
      </c>
      <c r="K2483">
        <v>306</v>
      </c>
      <c r="M2483">
        <f t="shared" si="1161"/>
        <v>373.32</v>
      </c>
      <c r="N2483">
        <f t="shared" si="1162"/>
        <v>65.88</v>
      </c>
    </row>
    <row r="2484" spans="1:14" x14ac:dyDescent="0.25">
      <c r="A2484">
        <v>328</v>
      </c>
      <c r="B2484" s="1">
        <v>44040</v>
      </c>
      <c r="C2484" t="s">
        <v>348</v>
      </c>
      <c r="D2484" t="s">
        <v>55</v>
      </c>
      <c r="F2484" t="s">
        <v>22</v>
      </c>
      <c r="G2484">
        <v>3</v>
      </c>
      <c r="H2484">
        <v>300</v>
      </c>
      <c r="I2484">
        <f t="shared" si="1163"/>
        <v>900</v>
      </c>
      <c r="J2484" t="s">
        <v>167</v>
      </c>
      <c r="K2484">
        <v>268</v>
      </c>
      <c r="M2484">
        <f t="shared" si="1161"/>
        <v>804</v>
      </c>
      <c r="N2484">
        <f t="shared" si="1162"/>
        <v>96</v>
      </c>
    </row>
    <row r="2485" spans="1:14" x14ac:dyDescent="0.25">
      <c r="A2485">
        <v>329</v>
      </c>
      <c r="B2485" s="1">
        <v>44040</v>
      </c>
      <c r="C2485" t="s">
        <v>348</v>
      </c>
      <c r="D2485" t="s">
        <v>25</v>
      </c>
      <c r="F2485" t="s">
        <v>71</v>
      </c>
      <c r="G2485">
        <v>1</v>
      </c>
      <c r="H2485">
        <v>60</v>
      </c>
      <c r="I2485">
        <f t="shared" si="1163"/>
        <v>60</v>
      </c>
      <c r="J2485" t="s">
        <v>165</v>
      </c>
      <c r="K2485">
        <v>33</v>
      </c>
      <c r="M2485">
        <f t="shared" si="1161"/>
        <v>33</v>
      </c>
      <c r="N2485">
        <f t="shared" si="1162"/>
        <v>27</v>
      </c>
    </row>
    <row r="2486" spans="1:14" x14ac:dyDescent="0.25">
      <c r="A2486">
        <v>330</v>
      </c>
      <c r="B2486" s="1">
        <v>44040</v>
      </c>
      <c r="C2486" t="s">
        <v>348</v>
      </c>
      <c r="D2486" t="s">
        <v>23</v>
      </c>
      <c r="F2486" t="s">
        <v>316</v>
      </c>
      <c r="G2486">
        <v>2</v>
      </c>
      <c r="H2486">
        <v>60</v>
      </c>
      <c r="I2486">
        <f t="shared" si="1163"/>
        <v>120</v>
      </c>
      <c r="J2486" t="s">
        <v>187</v>
      </c>
      <c r="K2486">
        <v>40</v>
      </c>
      <c r="M2486">
        <f t="shared" si="1161"/>
        <v>80</v>
      </c>
      <c r="N2486">
        <f t="shared" si="1162"/>
        <v>40</v>
      </c>
    </row>
    <row r="2487" spans="1:14" x14ac:dyDescent="0.25">
      <c r="A2487">
        <v>331</v>
      </c>
      <c r="B2487" s="1">
        <v>44040</v>
      </c>
      <c r="C2487" t="s">
        <v>348</v>
      </c>
      <c r="D2487" t="s">
        <v>23</v>
      </c>
      <c r="F2487" t="s">
        <v>66</v>
      </c>
      <c r="G2487">
        <v>1</v>
      </c>
      <c r="H2487">
        <v>120</v>
      </c>
      <c r="I2487">
        <f t="shared" si="1163"/>
        <v>120</v>
      </c>
      <c r="J2487" t="s">
        <v>187</v>
      </c>
      <c r="K2487">
        <v>88</v>
      </c>
      <c r="M2487">
        <f t="shared" si="1161"/>
        <v>88</v>
      </c>
      <c r="N2487">
        <f t="shared" si="1162"/>
        <v>32</v>
      </c>
    </row>
    <row r="2488" spans="1:14" x14ac:dyDescent="0.25">
      <c r="A2488">
        <v>332</v>
      </c>
      <c r="B2488" s="1">
        <v>44041</v>
      </c>
      <c r="C2488" t="s">
        <v>348</v>
      </c>
      <c r="D2488" t="s">
        <v>55</v>
      </c>
      <c r="F2488" t="s">
        <v>408</v>
      </c>
      <c r="G2488">
        <v>3</v>
      </c>
      <c r="H2488">
        <v>300</v>
      </c>
      <c r="I2488">
        <f t="shared" si="1163"/>
        <v>900</v>
      </c>
      <c r="J2488" t="s">
        <v>167</v>
      </c>
      <c r="K2488">
        <v>268</v>
      </c>
      <c r="M2488">
        <f t="shared" si="1161"/>
        <v>804</v>
      </c>
      <c r="N2488">
        <f t="shared" si="1162"/>
        <v>96</v>
      </c>
    </row>
    <row r="2489" spans="1:14" x14ac:dyDescent="0.25">
      <c r="A2489">
        <v>333</v>
      </c>
      <c r="B2489" s="1">
        <v>44041</v>
      </c>
      <c r="C2489" t="s">
        <v>348</v>
      </c>
      <c r="D2489" t="s">
        <v>25</v>
      </c>
      <c r="F2489" t="s">
        <v>58</v>
      </c>
      <c r="G2489">
        <v>1</v>
      </c>
      <c r="H2489">
        <v>60</v>
      </c>
      <c r="I2489">
        <f t="shared" si="1163"/>
        <v>60</v>
      </c>
      <c r="J2489" t="s">
        <v>165</v>
      </c>
      <c r="K2489">
        <v>33</v>
      </c>
      <c r="M2489">
        <f t="shared" si="1161"/>
        <v>33</v>
      </c>
      <c r="N2489">
        <f t="shared" si="1162"/>
        <v>27</v>
      </c>
    </row>
    <row r="2490" spans="1:14" x14ac:dyDescent="0.25">
      <c r="A2490">
        <v>334</v>
      </c>
      <c r="B2490" s="1">
        <v>44041</v>
      </c>
      <c r="C2490" t="s">
        <v>348</v>
      </c>
      <c r="D2490" t="s">
        <v>25</v>
      </c>
      <c r="F2490" t="s">
        <v>130</v>
      </c>
      <c r="G2490">
        <v>1</v>
      </c>
      <c r="H2490">
        <v>60</v>
      </c>
      <c r="I2490">
        <f t="shared" si="1163"/>
        <v>60</v>
      </c>
      <c r="J2490" t="s">
        <v>165</v>
      </c>
      <c r="K2490">
        <v>33</v>
      </c>
      <c r="M2490">
        <f t="shared" si="1161"/>
        <v>33</v>
      </c>
      <c r="N2490">
        <f t="shared" si="1162"/>
        <v>27</v>
      </c>
    </row>
    <row r="2491" spans="1:14" x14ac:dyDescent="0.25">
      <c r="A2491">
        <v>335</v>
      </c>
      <c r="B2491" s="1">
        <v>44041</v>
      </c>
      <c r="C2491" t="s">
        <v>348</v>
      </c>
      <c r="D2491" t="s">
        <v>55</v>
      </c>
      <c r="F2491" t="s">
        <v>381</v>
      </c>
      <c r="G2491">
        <v>7</v>
      </c>
      <c r="H2491">
        <v>300</v>
      </c>
      <c r="I2491">
        <f t="shared" si="1163"/>
        <v>2100</v>
      </c>
      <c r="J2491" t="s">
        <v>167</v>
      </c>
      <c r="K2491">
        <v>268</v>
      </c>
      <c r="M2491">
        <f t="shared" si="1161"/>
        <v>1876</v>
      </c>
      <c r="N2491">
        <f t="shared" si="1162"/>
        <v>224</v>
      </c>
    </row>
    <row r="2492" spans="1:14" x14ac:dyDescent="0.25">
      <c r="A2492">
        <v>336</v>
      </c>
      <c r="B2492" s="1">
        <v>44041</v>
      </c>
      <c r="C2492" t="s">
        <v>348</v>
      </c>
      <c r="D2492" t="s">
        <v>55</v>
      </c>
      <c r="F2492" t="s">
        <v>381</v>
      </c>
      <c r="G2492">
        <v>3</v>
      </c>
      <c r="H2492">
        <v>300</v>
      </c>
      <c r="I2492">
        <f t="shared" si="1163"/>
        <v>900</v>
      </c>
      <c r="J2492" t="s">
        <v>167</v>
      </c>
      <c r="K2492">
        <v>268</v>
      </c>
      <c r="M2492">
        <f t="shared" si="1161"/>
        <v>804</v>
      </c>
      <c r="N2492">
        <f t="shared" si="1162"/>
        <v>96</v>
      </c>
    </row>
    <row r="2493" spans="1:14" x14ac:dyDescent="0.25">
      <c r="A2493">
        <v>337</v>
      </c>
      <c r="B2493" s="1">
        <v>44041</v>
      </c>
      <c r="C2493" t="s">
        <v>348</v>
      </c>
      <c r="D2493" t="s">
        <v>15</v>
      </c>
      <c r="F2493" t="s">
        <v>397</v>
      </c>
      <c r="G2493">
        <v>3.5</v>
      </c>
      <c r="H2493">
        <v>250</v>
      </c>
      <c r="I2493">
        <f t="shared" si="1163"/>
        <v>875</v>
      </c>
      <c r="J2493" t="s">
        <v>167</v>
      </c>
      <c r="K2493">
        <v>219</v>
      </c>
      <c r="M2493">
        <f t="shared" si="1161"/>
        <v>766.5</v>
      </c>
      <c r="N2493">
        <f t="shared" si="1162"/>
        <v>108.5</v>
      </c>
    </row>
    <row r="2494" spans="1:14" x14ac:dyDescent="0.25">
      <c r="A2494">
        <v>338</v>
      </c>
      <c r="B2494" s="1">
        <v>44041</v>
      </c>
      <c r="C2494" t="s">
        <v>348</v>
      </c>
      <c r="D2494" t="s">
        <v>44</v>
      </c>
      <c r="F2494" t="s">
        <v>138</v>
      </c>
      <c r="G2494">
        <v>1</v>
      </c>
      <c r="H2494">
        <v>35</v>
      </c>
      <c r="I2494">
        <f t="shared" si="1163"/>
        <v>35</v>
      </c>
      <c r="J2494" t="s">
        <v>166</v>
      </c>
      <c r="K2494">
        <v>29</v>
      </c>
      <c r="M2494">
        <f t="shared" si="1161"/>
        <v>29</v>
      </c>
      <c r="N2494">
        <f t="shared" si="1162"/>
        <v>6</v>
      </c>
    </row>
    <row r="2495" spans="1:14" x14ac:dyDescent="0.25">
      <c r="A2495">
        <v>339</v>
      </c>
      <c r="B2495" s="1">
        <v>44041</v>
      </c>
      <c r="C2495" t="s">
        <v>348</v>
      </c>
      <c r="D2495" t="s">
        <v>25</v>
      </c>
      <c r="F2495" t="s">
        <v>58</v>
      </c>
      <c r="G2495">
        <v>2</v>
      </c>
      <c r="H2495">
        <v>60</v>
      </c>
      <c r="I2495">
        <f t="shared" si="1163"/>
        <v>120</v>
      </c>
      <c r="J2495" t="s">
        <v>165</v>
      </c>
      <c r="K2495">
        <v>33</v>
      </c>
      <c r="M2495">
        <f t="shared" si="1161"/>
        <v>66</v>
      </c>
      <c r="N2495">
        <f t="shared" si="1162"/>
        <v>54</v>
      </c>
    </row>
    <row r="2496" spans="1:14" x14ac:dyDescent="0.25">
      <c r="A2496">
        <v>340</v>
      </c>
      <c r="B2496" s="1">
        <v>44041</v>
      </c>
      <c r="C2496" t="s">
        <v>348</v>
      </c>
      <c r="D2496" t="s">
        <v>56</v>
      </c>
      <c r="F2496" t="s">
        <v>176</v>
      </c>
      <c r="G2496">
        <v>3</v>
      </c>
      <c r="H2496">
        <v>260</v>
      </c>
      <c r="I2496">
        <f t="shared" si="1163"/>
        <v>780</v>
      </c>
      <c r="J2496" t="s">
        <v>163</v>
      </c>
      <c r="K2496">
        <v>200</v>
      </c>
      <c r="M2496">
        <f t="shared" si="1161"/>
        <v>600</v>
      </c>
      <c r="N2496">
        <f t="shared" si="1162"/>
        <v>180</v>
      </c>
    </row>
    <row r="2497" spans="1:14" x14ac:dyDescent="0.25">
      <c r="A2497">
        <v>341</v>
      </c>
      <c r="B2497" s="1">
        <v>44041</v>
      </c>
      <c r="C2497" t="s">
        <v>348</v>
      </c>
      <c r="D2497" t="s">
        <v>24</v>
      </c>
      <c r="F2497" t="s">
        <v>24</v>
      </c>
      <c r="G2497">
        <v>1.5</v>
      </c>
      <c r="H2497">
        <v>100</v>
      </c>
      <c r="I2497">
        <f t="shared" si="1163"/>
        <v>150</v>
      </c>
      <c r="J2497" t="s">
        <v>186</v>
      </c>
      <c r="K2497">
        <v>68.22</v>
      </c>
      <c r="M2497">
        <f t="shared" si="1161"/>
        <v>102.33</v>
      </c>
      <c r="N2497">
        <f t="shared" si="1162"/>
        <v>47.67</v>
      </c>
    </row>
    <row r="2498" spans="1:14" x14ac:dyDescent="0.25">
      <c r="A2498">
        <v>342</v>
      </c>
      <c r="B2498" s="1">
        <v>44041</v>
      </c>
      <c r="C2498" t="s">
        <v>348</v>
      </c>
      <c r="D2498" t="s">
        <v>25</v>
      </c>
      <c r="F2498" t="s">
        <v>57</v>
      </c>
      <c r="G2498">
        <v>1</v>
      </c>
      <c r="H2498">
        <v>60</v>
      </c>
      <c r="I2498">
        <f t="shared" si="1163"/>
        <v>60</v>
      </c>
      <c r="J2498" t="s">
        <v>165</v>
      </c>
      <c r="K2498">
        <v>33</v>
      </c>
      <c r="M2498">
        <f t="shared" si="1161"/>
        <v>33</v>
      </c>
      <c r="N2498">
        <f t="shared" si="1162"/>
        <v>27</v>
      </c>
    </row>
    <row r="2499" spans="1:14" x14ac:dyDescent="0.25">
      <c r="A2499">
        <v>343</v>
      </c>
      <c r="B2499" s="1">
        <v>44041</v>
      </c>
      <c r="C2499" t="s">
        <v>348</v>
      </c>
      <c r="D2499" t="s">
        <v>44</v>
      </c>
      <c r="F2499" t="s">
        <v>412</v>
      </c>
      <c r="G2499">
        <v>1</v>
      </c>
      <c r="H2499">
        <v>35</v>
      </c>
      <c r="I2499">
        <f t="shared" si="1163"/>
        <v>35</v>
      </c>
      <c r="J2499" t="s">
        <v>166</v>
      </c>
      <c r="K2499">
        <v>22</v>
      </c>
      <c r="M2499">
        <f t="shared" si="1161"/>
        <v>22</v>
      </c>
      <c r="N2499">
        <f t="shared" si="1162"/>
        <v>13</v>
      </c>
    </row>
    <row r="2500" spans="1:14" x14ac:dyDescent="0.25">
      <c r="A2500">
        <v>344</v>
      </c>
      <c r="B2500" s="1">
        <v>44041</v>
      </c>
      <c r="C2500" t="s">
        <v>348</v>
      </c>
      <c r="D2500" t="s">
        <v>44</v>
      </c>
      <c r="F2500" t="s">
        <v>412</v>
      </c>
      <c r="G2500">
        <v>1</v>
      </c>
      <c r="H2500">
        <v>35</v>
      </c>
      <c r="I2500">
        <f t="shared" si="1163"/>
        <v>35</v>
      </c>
      <c r="J2500" t="s">
        <v>166</v>
      </c>
      <c r="K2500">
        <v>22</v>
      </c>
      <c r="M2500">
        <f t="shared" si="1161"/>
        <v>22</v>
      </c>
      <c r="N2500">
        <f t="shared" si="1162"/>
        <v>13</v>
      </c>
    </row>
    <row r="2501" spans="1:14" x14ac:dyDescent="0.25">
      <c r="A2501">
        <v>345</v>
      </c>
      <c r="B2501" s="1">
        <v>44041</v>
      </c>
      <c r="C2501" t="s">
        <v>348</v>
      </c>
      <c r="D2501" t="s">
        <v>15</v>
      </c>
      <c r="F2501" t="s">
        <v>397</v>
      </c>
      <c r="G2501">
        <v>2.8</v>
      </c>
      <c r="H2501">
        <v>235</v>
      </c>
      <c r="I2501">
        <f t="shared" si="1163"/>
        <v>658</v>
      </c>
      <c r="J2501" t="s">
        <v>167</v>
      </c>
      <c r="K2501">
        <v>219</v>
      </c>
      <c r="M2501">
        <f t="shared" ref="M2501:M2525" si="1164">+IF(K2501=0,(""),(K2501*G2501))</f>
        <v>613.19999999999993</v>
      </c>
      <c r="N2501">
        <f t="shared" ref="N2501:N2525" si="1165">+IF(K2501=0,(""),(I2501-M2501))</f>
        <v>44.800000000000068</v>
      </c>
    </row>
    <row r="2502" spans="1:14" x14ac:dyDescent="0.25">
      <c r="A2502">
        <v>346</v>
      </c>
      <c r="B2502" s="1">
        <v>44041</v>
      </c>
      <c r="C2502" t="s">
        <v>348</v>
      </c>
      <c r="D2502" t="s">
        <v>15</v>
      </c>
      <c r="F2502" t="s">
        <v>29</v>
      </c>
      <c r="G2502">
        <v>14</v>
      </c>
      <c r="H2502">
        <v>240</v>
      </c>
      <c r="I2502">
        <f t="shared" si="1163"/>
        <v>3360</v>
      </c>
      <c r="J2502" t="s">
        <v>163</v>
      </c>
      <c r="K2502">
        <v>210</v>
      </c>
      <c r="M2502">
        <f t="shared" si="1164"/>
        <v>2940</v>
      </c>
      <c r="N2502">
        <f t="shared" si="1165"/>
        <v>420</v>
      </c>
    </row>
    <row r="2503" spans="1:14" x14ac:dyDescent="0.25">
      <c r="A2503">
        <v>347</v>
      </c>
      <c r="B2503" s="1">
        <v>44041</v>
      </c>
      <c r="C2503" t="s">
        <v>348</v>
      </c>
      <c r="D2503" t="s">
        <v>56</v>
      </c>
      <c r="F2503" t="s">
        <v>176</v>
      </c>
      <c r="G2503">
        <v>10</v>
      </c>
      <c r="H2503">
        <v>260</v>
      </c>
      <c r="I2503">
        <f t="shared" si="1163"/>
        <v>2600</v>
      </c>
      <c r="J2503" t="s">
        <v>163</v>
      </c>
      <c r="K2503">
        <v>200</v>
      </c>
      <c r="M2503">
        <f t="shared" si="1164"/>
        <v>2000</v>
      </c>
      <c r="N2503">
        <f t="shared" si="1165"/>
        <v>600</v>
      </c>
    </row>
    <row r="2504" spans="1:14" x14ac:dyDescent="0.25">
      <c r="A2504">
        <v>348</v>
      </c>
      <c r="B2504" s="1">
        <v>44041</v>
      </c>
      <c r="C2504" t="s">
        <v>348</v>
      </c>
      <c r="D2504" t="s">
        <v>25</v>
      </c>
      <c r="F2504" t="s">
        <v>337</v>
      </c>
      <c r="G2504">
        <v>5</v>
      </c>
      <c r="H2504">
        <v>60</v>
      </c>
      <c r="I2504">
        <f t="shared" si="1163"/>
        <v>300</v>
      </c>
      <c r="J2504" t="s">
        <v>165</v>
      </c>
      <c r="K2504">
        <v>33</v>
      </c>
      <c r="M2504">
        <f t="shared" si="1164"/>
        <v>165</v>
      </c>
      <c r="N2504">
        <f t="shared" si="1165"/>
        <v>135</v>
      </c>
    </row>
    <row r="2505" spans="1:14" x14ac:dyDescent="0.25">
      <c r="A2505">
        <v>349</v>
      </c>
      <c r="B2505" s="1">
        <v>44041</v>
      </c>
      <c r="C2505" t="s">
        <v>348</v>
      </c>
      <c r="D2505" t="s">
        <v>26</v>
      </c>
      <c r="F2505" t="s">
        <v>47</v>
      </c>
      <c r="G2505">
        <v>4.53</v>
      </c>
      <c r="H2505">
        <v>380</v>
      </c>
      <c r="I2505">
        <f t="shared" si="1163"/>
        <v>1721.4</v>
      </c>
      <c r="J2505" t="s">
        <v>99</v>
      </c>
      <c r="K2505">
        <v>261</v>
      </c>
      <c r="M2505">
        <f t="shared" si="1164"/>
        <v>1182.3300000000002</v>
      </c>
      <c r="N2505">
        <f t="shared" si="1165"/>
        <v>539.06999999999994</v>
      </c>
    </row>
    <row r="2506" spans="1:14" x14ac:dyDescent="0.25">
      <c r="A2506">
        <v>350</v>
      </c>
      <c r="B2506" s="1">
        <v>44042</v>
      </c>
      <c r="C2506" t="s">
        <v>348</v>
      </c>
      <c r="D2506" t="s">
        <v>55</v>
      </c>
      <c r="F2506" t="s">
        <v>399</v>
      </c>
      <c r="G2506">
        <f>2/17</f>
        <v>0.11764705882352941</v>
      </c>
      <c r="H2506">
        <v>300</v>
      </c>
      <c r="I2506">
        <f t="shared" si="1163"/>
        <v>35.294117647058826</v>
      </c>
      <c r="J2506" t="s">
        <v>167</v>
      </c>
      <c r="K2506">
        <v>268</v>
      </c>
      <c r="M2506">
        <f t="shared" si="1164"/>
        <v>31.52941176470588</v>
      </c>
      <c r="N2506">
        <f t="shared" si="1165"/>
        <v>3.7647058823529456</v>
      </c>
    </row>
    <row r="2507" spans="1:14" x14ac:dyDescent="0.25">
      <c r="A2507">
        <v>351</v>
      </c>
      <c r="B2507" s="1">
        <v>44042</v>
      </c>
      <c r="C2507" t="s">
        <v>348</v>
      </c>
      <c r="D2507" t="s">
        <v>55</v>
      </c>
      <c r="F2507" t="s">
        <v>149</v>
      </c>
      <c r="G2507">
        <v>2</v>
      </c>
      <c r="H2507">
        <v>300</v>
      </c>
      <c r="I2507">
        <f t="shared" si="1163"/>
        <v>600</v>
      </c>
      <c r="J2507" t="s">
        <v>167</v>
      </c>
      <c r="K2507">
        <v>268</v>
      </c>
      <c r="M2507">
        <f t="shared" si="1164"/>
        <v>536</v>
      </c>
      <c r="N2507">
        <f t="shared" si="1165"/>
        <v>64</v>
      </c>
    </row>
    <row r="2508" spans="1:14" x14ac:dyDescent="0.25">
      <c r="A2508">
        <v>352</v>
      </c>
      <c r="B2508" s="1">
        <v>44042</v>
      </c>
      <c r="C2508" t="s">
        <v>348</v>
      </c>
      <c r="D2508" t="s">
        <v>26</v>
      </c>
      <c r="F2508" t="s">
        <v>144</v>
      </c>
      <c r="G2508">
        <f>3/4*1.44</f>
        <v>1.08</v>
      </c>
      <c r="H2508">
        <v>425</v>
      </c>
      <c r="I2508">
        <f t="shared" si="1163"/>
        <v>459.00000000000006</v>
      </c>
      <c r="J2508" t="s">
        <v>99</v>
      </c>
      <c r="K2508">
        <v>360</v>
      </c>
      <c r="M2508">
        <f t="shared" si="1164"/>
        <v>388.8</v>
      </c>
      <c r="N2508">
        <f t="shared" si="1165"/>
        <v>70.200000000000045</v>
      </c>
    </row>
    <row r="2509" spans="1:14" x14ac:dyDescent="0.25">
      <c r="A2509">
        <v>353</v>
      </c>
      <c r="B2509" s="1">
        <v>44042</v>
      </c>
      <c r="C2509" t="s">
        <v>348</v>
      </c>
      <c r="D2509" t="s">
        <v>85</v>
      </c>
      <c r="F2509" t="s">
        <v>413</v>
      </c>
      <c r="G2509">
        <v>1</v>
      </c>
      <c r="H2509">
        <v>600</v>
      </c>
      <c r="I2509">
        <f t="shared" si="1163"/>
        <v>600</v>
      </c>
      <c r="J2509" t="s">
        <v>167</v>
      </c>
      <c r="M2509" t="str">
        <f t="shared" si="1164"/>
        <v/>
      </c>
      <c r="N2509" t="str">
        <f t="shared" si="1165"/>
        <v/>
      </c>
    </row>
    <row r="2510" spans="1:14" x14ac:dyDescent="0.25">
      <c r="A2510">
        <v>354</v>
      </c>
      <c r="B2510" s="1">
        <v>44042</v>
      </c>
      <c r="C2510" t="s">
        <v>348</v>
      </c>
      <c r="D2510" t="s">
        <v>56</v>
      </c>
      <c r="F2510" t="s">
        <v>267</v>
      </c>
      <c r="G2510">
        <v>1</v>
      </c>
      <c r="H2510">
        <v>170</v>
      </c>
      <c r="I2510">
        <f t="shared" si="1163"/>
        <v>170</v>
      </c>
      <c r="J2510" t="s">
        <v>163</v>
      </c>
      <c r="K2510">
        <v>123</v>
      </c>
      <c r="M2510">
        <f t="shared" si="1164"/>
        <v>123</v>
      </c>
      <c r="N2510">
        <f t="shared" si="1165"/>
        <v>47</v>
      </c>
    </row>
    <row r="2511" spans="1:14" x14ac:dyDescent="0.25">
      <c r="A2511">
        <v>355</v>
      </c>
      <c r="B2511" s="1">
        <v>44042</v>
      </c>
      <c r="C2511" t="s">
        <v>348</v>
      </c>
      <c r="D2511" t="s">
        <v>26</v>
      </c>
      <c r="F2511" t="s">
        <v>47</v>
      </c>
      <c r="G2511">
        <v>4.8600000000000003</v>
      </c>
      <c r="H2511">
        <v>380</v>
      </c>
      <c r="I2511">
        <f t="shared" si="1163"/>
        <v>1846.8000000000002</v>
      </c>
      <c r="J2511" t="s">
        <v>99</v>
      </c>
      <c r="K2511">
        <v>261</v>
      </c>
      <c r="M2511">
        <f t="shared" si="1164"/>
        <v>1268.46</v>
      </c>
      <c r="N2511">
        <f t="shared" si="1165"/>
        <v>578.34000000000015</v>
      </c>
    </row>
    <row r="2512" spans="1:14" x14ac:dyDescent="0.25">
      <c r="A2512">
        <v>356</v>
      </c>
      <c r="B2512" s="1">
        <v>44042</v>
      </c>
      <c r="C2512" t="s">
        <v>348</v>
      </c>
      <c r="D2512" t="s">
        <v>56</v>
      </c>
      <c r="F2512" t="s">
        <v>267</v>
      </c>
      <c r="G2512">
        <v>7</v>
      </c>
      <c r="H2512">
        <v>170</v>
      </c>
      <c r="I2512">
        <f t="shared" si="1163"/>
        <v>1190</v>
      </c>
      <c r="J2512" t="s">
        <v>163</v>
      </c>
      <c r="K2512">
        <v>123</v>
      </c>
      <c r="M2512">
        <f t="shared" si="1164"/>
        <v>861</v>
      </c>
      <c r="N2512">
        <f t="shared" si="1165"/>
        <v>329</v>
      </c>
    </row>
    <row r="2513" spans="1:14" x14ac:dyDescent="0.25">
      <c r="A2513">
        <v>357</v>
      </c>
      <c r="B2513" s="1">
        <v>44042</v>
      </c>
      <c r="C2513" t="s">
        <v>348</v>
      </c>
      <c r="D2513" t="s">
        <v>25</v>
      </c>
      <c r="F2513" t="s">
        <v>57</v>
      </c>
      <c r="G2513">
        <v>3</v>
      </c>
      <c r="H2513">
        <v>60</v>
      </c>
      <c r="I2513">
        <f t="shared" si="1163"/>
        <v>180</v>
      </c>
      <c r="J2513" t="s">
        <v>165</v>
      </c>
      <c r="K2513">
        <v>33</v>
      </c>
      <c r="M2513">
        <f t="shared" si="1164"/>
        <v>99</v>
      </c>
      <c r="N2513">
        <f t="shared" si="1165"/>
        <v>81</v>
      </c>
    </row>
    <row r="2514" spans="1:14" x14ac:dyDescent="0.25">
      <c r="A2514">
        <v>358</v>
      </c>
      <c r="B2514" s="1">
        <v>44042</v>
      </c>
      <c r="C2514" t="s">
        <v>348</v>
      </c>
      <c r="D2514" t="s">
        <v>56</v>
      </c>
      <c r="F2514" t="s">
        <v>176</v>
      </c>
      <c r="G2514">
        <v>2</v>
      </c>
      <c r="H2514">
        <v>260</v>
      </c>
      <c r="I2514">
        <f t="shared" si="1163"/>
        <v>520</v>
      </c>
      <c r="J2514" t="s">
        <v>163</v>
      </c>
      <c r="K2514">
        <v>200</v>
      </c>
      <c r="M2514">
        <f t="shared" si="1164"/>
        <v>400</v>
      </c>
      <c r="N2514">
        <f t="shared" si="1165"/>
        <v>120</v>
      </c>
    </row>
    <row r="2515" spans="1:14" x14ac:dyDescent="0.25">
      <c r="A2515">
        <v>359</v>
      </c>
      <c r="B2515" s="1">
        <v>44042</v>
      </c>
      <c r="C2515" t="s">
        <v>348</v>
      </c>
      <c r="D2515" t="s">
        <v>55</v>
      </c>
      <c r="F2515" t="s">
        <v>22</v>
      </c>
      <c r="G2515">
        <v>9.1999999999999993</v>
      </c>
      <c r="H2515">
        <v>300</v>
      </c>
      <c r="I2515">
        <f t="shared" si="1163"/>
        <v>2760</v>
      </c>
      <c r="J2515" t="s">
        <v>167</v>
      </c>
      <c r="K2515">
        <v>268</v>
      </c>
      <c r="M2515">
        <f t="shared" si="1164"/>
        <v>2465.6</v>
      </c>
      <c r="N2515">
        <f t="shared" si="1165"/>
        <v>294.40000000000009</v>
      </c>
    </row>
    <row r="2516" spans="1:14" x14ac:dyDescent="0.25">
      <c r="A2516">
        <v>360</v>
      </c>
      <c r="B2516" s="1">
        <v>44043</v>
      </c>
      <c r="C2516" t="s">
        <v>348</v>
      </c>
      <c r="D2516" t="s">
        <v>15</v>
      </c>
      <c r="F2516" t="s">
        <v>29</v>
      </c>
      <c r="G2516">
        <v>12</v>
      </c>
      <c r="H2516">
        <v>240</v>
      </c>
      <c r="I2516">
        <f t="shared" si="1163"/>
        <v>2880</v>
      </c>
      <c r="J2516" t="s">
        <v>163</v>
      </c>
      <c r="K2516">
        <v>210</v>
      </c>
      <c r="M2516">
        <f t="shared" si="1164"/>
        <v>2520</v>
      </c>
      <c r="N2516">
        <f t="shared" si="1165"/>
        <v>360</v>
      </c>
    </row>
    <row r="2517" spans="1:14" x14ac:dyDescent="0.25">
      <c r="A2517">
        <v>361</v>
      </c>
      <c r="B2517" s="1">
        <v>44043</v>
      </c>
      <c r="C2517" t="s">
        <v>348</v>
      </c>
      <c r="D2517" t="s">
        <v>25</v>
      </c>
      <c r="F2517" t="s">
        <v>127</v>
      </c>
      <c r="G2517">
        <v>1</v>
      </c>
      <c r="H2517">
        <v>60</v>
      </c>
      <c r="I2517">
        <f t="shared" si="1163"/>
        <v>60</v>
      </c>
      <c r="J2517" t="s">
        <v>165</v>
      </c>
      <c r="K2517">
        <v>33</v>
      </c>
      <c r="M2517">
        <f t="shared" si="1164"/>
        <v>33</v>
      </c>
      <c r="N2517">
        <f t="shared" si="1165"/>
        <v>27</v>
      </c>
    </row>
    <row r="2518" spans="1:14" x14ac:dyDescent="0.25">
      <c r="A2518">
        <v>362</v>
      </c>
      <c r="B2518" s="1">
        <v>44043</v>
      </c>
      <c r="C2518" t="s">
        <v>348</v>
      </c>
      <c r="D2518" t="s">
        <v>24</v>
      </c>
      <c r="F2518" t="s">
        <v>24</v>
      </c>
      <c r="G2518">
        <v>2</v>
      </c>
      <c r="H2518">
        <v>100</v>
      </c>
      <c r="I2518">
        <f t="shared" si="1163"/>
        <v>200</v>
      </c>
      <c r="J2518" t="s">
        <v>186</v>
      </c>
      <c r="K2518">
        <v>68.22</v>
      </c>
      <c r="M2518">
        <f t="shared" si="1164"/>
        <v>136.44</v>
      </c>
      <c r="N2518">
        <f t="shared" si="1165"/>
        <v>63.56</v>
      </c>
    </row>
    <row r="2519" spans="1:14" x14ac:dyDescent="0.25">
      <c r="A2519">
        <v>363</v>
      </c>
      <c r="B2519" s="1">
        <v>44043</v>
      </c>
      <c r="C2519" t="s">
        <v>348</v>
      </c>
      <c r="D2519" t="s">
        <v>44</v>
      </c>
      <c r="F2519" t="s">
        <v>387</v>
      </c>
      <c r="G2519">
        <v>1</v>
      </c>
      <c r="H2519">
        <v>35</v>
      </c>
      <c r="I2519">
        <f t="shared" si="1163"/>
        <v>35</v>
      </c>
      <c r="J2519" t="s">
        <v>166</v>
      </c>
      <c r="K2519">
        <v>22</v>
      </c>
      <c r="M2519">
        <f t="shared" si="1164"/>
        <v>22</v>
      </c>
      <c r="N2519">
        <f t="shared" si="1165"/>
        <v>13</v>
      </c>
    </row>
    <row r="2520" spans="1:14" x14ac:dyDescent="0.25">
      <c r="A2520">
        <v>364</v>
      </c>
      <c r="B2520" s="1">
        <v>44043</v>
      </c>
      <c r="C2520" t="s">
        <v>348</v>
      </c>
      <c r="D2520" t="s">
        <v>78</v>
      </c>
      <c r="F2520" t="s">
        <v>79</v>
      </c>
      <c r="G2520">
        <v>1</v>
      </c>
      <c r="H2520">
        <v>1550</v>
      </c>
      <c r="I2520">
        <f t="shared" si="1163"/>
        <v>1550</v>
      </c>
      <c r="J2520" t="s">
        <v>167</v>
      </c>
      <c r="K2520">
        <v>1330</v>
      </c>
      <c r="M2520">
        <f t="shared" si="1164"/>
        <v>1330</v>
      </c>
      <c r="N2520">
        <f t="shared" si="1165"/>
        <v>220</v>
      </c>
    </row>
    <row r="2521" spans="1:14" x14ac:dyDescent="0.25">
      <c r="A2521">
        <v>365</v>
      </c>
      <c r="B2521" s="1">
        <v>44043</v>
      </c>
      <c r="C2521" t="s">
        <v>348</v>
      </c>
      <c r="D2521" t="s">
        <v>56</v>
      </c>
      <c r="F2521" t="s">
        <v>267</v>
      </c>
      <c r="G2521">
        <v>1</v>
      </c>
      <c r="H2521">
        <v>170</v>
      </c>
      <c r="I2521">
        <f t="shared" ref="I2521:I2594" si="1166">+G2521*H2521</f>
        <v>170</v>
      </c>
      <c r="J2521" t="s">
        <v>163</v>
      </c>
      <c r="K2521">
        <v>123</v>
      </c>
      <c r="M2521">
        <f t="shared" si="1164"/>
        <v>123</v>
      </c>
      <c r="N2521">
        <f t="shared" si="1165"/>
        <v>47</v>
      </c>
    </row>
    <row r="2522" spans="1:14" x14ac:dyDescent="0.25">
      <c r="A2522">
        <v>366</v>
      </c>
      <c r="B2522" s="1">
        <v>44043</v>
      </c>
      <c r="C2522" t="s">
        <v>348</v>
      </c>
      <c r="D2522" t="s">
        <v>15</v>
      </c>
      <c r="F2522" t="s">
        <v>357</v>
      </c>
      <c r="G2522">
        <v>10</v>
      </c>
      <c r="H2522">
        <v>240</v>
      </c>
      <c r="I2522">
        <f t="shared" si="1166"/>
        <v>2400</v>
      </c>
      <c r="J2522" t="s">
        <v>167</v>
      </c>
      <c r="K2522">
        <v>207</v>
      </c>
      <c r="M2522">
        <f t="shared" si="1164"/>
        <v>2070</v>
      </c>
      <c r="N2522">
        <f t="shared" si="1165"/>
        <v>330</v>
      </c>
    </row>
    <row r="2523" spans="1:14" x14ac:dyDescent="0.25">
      <c r="A2523">
        <v>367</v>
      </c>
      <c r="B2523" s="1">
        <v>44043</v>
      </c>
      <c r="C2523" t="s">
        <v>348</v>
      </c>
      <c r="D2523" t="s">
        <v>15</v>
      </c>
      <c r="F2523" t="s">
        <v>313</v>
      </c>
      <c r="G2523">
        <v>5</v>
      </c>
      <c r="H2523">
        <v>270</v>
      </c>
      <c r="I2523">
        <f t="shared" si="1166"/>
        <v>1350</v>
      </c>
      <c r="J2523" t="s">
        <v>167</v>
      </c>
      <c r="K2523">
        <v>207</v>
      </c>
      <c r="M2523">
        <f t="shared" si="1164"/>
        <v>1035</v>
      </c>
      <c r="N2523">
        <f t="shared" si="1165"/>
        <v>315</v>
      </c>
    </row>
    <row r="2524" spans="1:14" x14ac:dyDescent="0.25">
      <c r="A2524">
        <v>368</v>
      </c>
      <c r="B2524" s="1">
        <v>44043</v>
      </c>
      <c r="C2524" t="s">
        <v>348</v>
      </c>
      <c r="D2524" t="s">
        <v>15</v>
      </c>
      <c r="F2524" t="s">
        <v>29</v>
      </c>
      <c r="G2524">
        <v>2.44</v>
      </c>
      <c r="H2524">
        <v>240</v>
      </c>
      <c r="I2524">
        <f t="shared" si="1166"/>
        <v>585.6</v>
      </c>
      <c r="J2524" t="s">
        <v>163</v>
      </c>
      <c r="K2524">
        <v>210</v>
      </c>
      <c r="M2524">
        <f t="shared" si="1164"/>
        <v>512.4</v>
      </c>
      <c r="N2524">
        <f t="shared" si="1165"/>
        <v>73.200000000000045</v>
      </c>
    </row>
    <row r="2525" spans="1:14" x14ac:dyDescent="0.25">
      <c r="A2525">
        <v>369</v>
      </c>
      <c r="B2525" s="1">
        <v>44043</v>
      </c>
      <c r="C2525" t="s">
        <v>348</v>
      </c>
      <c r="D2525" t="s">
        <v>25</v>
      </c>
      <c r="F2525" t="s">
        <v>127</v>
      </c>
      <c r="G2525">
        <v>5</v>
      </c>
      <c r="H2525">
        <v>60</v>
      </c>
      <c r="I2525">
        <f t="shared" si="1166"/>
        <v>300</v>
      </c>
      <c r="J2525" t="s">
        <v>165</v>
      </c>
      <c r="K2525">
        <v>33</v>
      </c>
      <c r="M2525">
        <f t="shared" si="1164"/>
        <v>165</v>
      </c>
      <c r="N2525">
        <f t="shared" si="1165"/>
        <v>135</v>
      </c>
    </row>
    <row r="2526" spans="1:14" x14ac:dyDescent="0.25">
      <c r="A2526">
        <v>1</v>
      </c>
      <c r="B2526" s="1">
        <v>44044</v>
      </c>
      <c r="C2526" t="str">
        <f t="shared" ref="C2526:C2589" si="1167">+TEXT(B2526,"mmmm")</f>
        <v>agosto</v>
      </c>
      <c r="D2526" t="s">
        <v>15</v>
      </c>
      <c r="F2526" t="s">
        <v>32</v>
      </c>
      <c r="G2526">
        <v>1</v>
      </c>
      <c r="H2526">
        <v>280</v>
      </c>
      <c r="I2526">
        <f>+G2526*H2526</f>
        <v>280</v>
      </c>
      <c r="J2526" t="s">
        <v>163</v>
      </c>
      <c r="K2526">
        <v>243</v>
      </c>
      <c r="M2526">
        <f t="shared" ref="M2526:M2589" si="1168">+IF(K2526=0,(""),(K2526*G2526))</f>
        <v>243</v>
      </c>
      <c r="N2526">
        <f t="shared" ref="N2526:N2589" si="1169">+IF(K2526=0,(""),(I2526-M2526))</f>
        <v>37</v>
      </c>
    </row>
    <row r="2527" spans="1:14" x14ac:dyDescent="0.25">
      <c r="A2527">
        <v>2</v>
      </c>
      <c r="B2527" s="1">
        <v>44044</v>
      </c>
      <c r="C2527" t="str">
        <f t="shared" si="1167"/>
        <v>agosto</v>
      </c>
      <c r="D2527" t="s">
        <v>15</v>
      </c>
      <c r="F2527" t="s">
        <v>453</v>
      </c>
      <c r="G2527">
        <f>1/8</f>
        <v>0.125</v>
      </c>
      <c r="H2527">
        <v>280</v>
      </c>
      <c r="I2527">
        <f t="shared" si="1166"/>
        <v>35</v>
      </c>
      <c r="J2527" t="s">
        <v>163</v>
      </c>
      <c r="K2527">
        <v>230</v>
      </c>
      <c r="M2527">
        <f t="shared" si="1168"/>
        <v>28.75</v>
      </c>
      <c r="N2527">
        <f t="shared" si="1169"/>
        <v>6.25</v>
      </c>
    </row>
    <row r="2528" spans="1:14" x14ac:dyDescent="0.25">
      <c r="A2528">
        <v>3</v>
      </c>
      <c r="B2528" s="1">
        <v>44044</v>
      </c>
      <c r="C2528" t="str">
        <f t="shared" si="1167"/>
        <v>agosto</v>
      </c>
      <c r="D2528" t="s">
        <v>55</v>
      </c>
      <c r="F2528" t="s">
        <v>399</v>
      </c>
      <c r="G2528">
        <v>0.5</v>
      </c>
      <c r="H2528">
        <v>300</v>
      </c>
      <c r="I2528">
        <f t="shared" si="1166"/>
        <v>150</v>
      </c>
      <c r="J2528" t="s">
        <v>167</v>
      </c>
      <c r="K2528">
        <v>268</v>
      </c>
      <c r="M2528">
        <f t="shared" si="1168"/>
        <v>134</v>
      </c>
      <c r="N2528">
        <f t="shared" si="1169"/>
        <v>16</v>
      </c>
    </row>
    <row r="2529" spans="1:14" x14ac:dyDescent="0.25">
      <c r="A2529">
        <v>4</v>
      </c>
      <c r="B2529" s="1">
        <v>44044</v>
      </c>
      <c r="C2529" t="str">
        <f t="shared" si="1167"/>
        <v>agosto</v>
      </c>
      <c r="D2529" t="s">
        <v>15</v>
      </c>
      <c r="F2529" t="s">
        <v>96</v>
      </c>
      <c r="G2529">
        <v>3.55</v>
      </c>
      <c r="H2529">
        <v>280</v>
      </c>
      <c r="I2529">
        <f t="shared" si="1166"/>
        <v>994</v>
      </c>
      <c r="J2529" t="s">
        <v>163</v>
      </c>
      <c r="K2529">
        <v>182</v>
      </c>
      <c r="M2529">
        <f t="shared" si="1168"/>
        <v>646.1</v>
      </c>
      <c r="N2529">
        <f t="shared" si="1169"/>
        <v>347.9</v>
      </c>
    </row>
    <row r="2530" spans="1:14" x14ac:dyDescent="0.25">
      <c r="A2530">
        <v>5</v>
      </c>
      <c r="B2530" s="1">
        <v>44044</v>
      </c>
      <c r="C2530" t="str">
        <f t="shared" si="1167"/>
        <v>agosto</v>
      </c>
      <c r="D2530" t="s">
        <v>15</v>
      </c>
      <c r="F2530" t="s">
        <v>17</v>
      </c>
      <c r="G2530">
        <f>5/6*1.22</f>
        <v>1.0166666666666666</v>
      </c>
      <c r="H2530">
        <v>360</v>
      </c>
      <c r="I2530">
        <f t="shared" si="1166"/>
        <v>366</v>
      </c>
      <c r="J2530" t="s">
        <v>167</v>
      </c>
      <c r="K2530">
        <v>306</v>
      </c>
      <c r="M2530">
        <f t="shared" si="1168"/>
        <v>311.09999999999997</v>
      </c>
      <c r="N2530">
        <f t="shared" si="1169"/>
        <v>54.900000000000034</v>
      </c>
    </row>
    <row r="2531" spans="1:14" x14ac:dyDescent="0.25">
      <c r="A2531">
        <v>6</v>
      </c>
      <c r="B2531" s="1">
        <v>44044</v>
      </c>
      <c r="C2531" t="str">
        <f t="shared" si="1167"/>
        <v>agosto</v>
      </c>
      <c r="D2531" t="s">
        <v>55</v>
      </c>
      <c r="F2531" t="s">
        <v>454</v>
      </c>
      <c r="G2531">
        <v>0.5</v>
      </c>
      <c r="H2531">
        <v>300</v>
      </c>
      <c r="I2531">
        <f t="shared" si="1166"/>
        <v>150</v>
      </c>
      <c r="J2531" t="s">
        <v>167</v>
      </c>
      <c r="K2531">
        <v>268</v>
      </c>
      <c r="M2531">
        <f t="shared" si="1168"/>
        <v>134</v>
      </c>
      <c r="N2531">
        <f t="shared" si="1169"/>
        <v>16</v>
      </c>
    </row>
    <row r="2532" spans="1:14" x14ac:dyDescent="0.25">
      <c r="A2532">
        <v>7</v>
      </c>
      <c r="B2532" s="1">
        <v>44044</v>
      </c>
      <c r="C2532" t="str">
        <f t="shared" si="1167"/>
        <v>agosto</v>
      </c>
      <c r="D2532" t="s">
        <v>92</v>
      </c>
      <c r="F2532" t="s">
        <v>455</v>
      </c>
      <c r="G2532">
        <v>1</v>
      </c>
      <c r="H2532">
        <v>150</v>
      </c>
      <c r="I2532">
        <f t="shared" si="1166"/>
        <v>150</v>
      </c>
      <c r="J2532" t="s">
        <v>166</v>
      </c>
      <c r="M2532" t="str">
        <f t="shared" si="1168"/>
        <v/>
      </c>
      <c r="N2532" t="str">
        <f t="shared" si="1169"/>
        <v/>
      </c>
    </row>
    <row r="2533" spans="1:14" x14ac:dyDescent="0.25">
      <c r="A2533">
        <v>8</v>
      </c>
      <c r="B2533" s="1">
        <v>44044</v>
      </c>
      <c r="C2533" t="str">
        <f t="shared" si="1167"/>
        <v>agosto</v>
      </c>
      <c r="D2533" t="s">
        <v>15</v>
      </c>
      <c r="F2533" t="s">
        <v>28</v>
      </c>
      <c r="G2533">
        <v>19</v>
      </c>
      <c r="H2533">
        <v>240</v>
      </c>
      <c r="I2533">
        <f t="shared" si="1166"/>
        <v>4560</v>
      </c>
      <c r="J2533" t="s">
        <v>163</v>
      </c>
      <c r="K2533">
        <v>216</v>
      </c>
      <c r="M2533">
        <f t="shared" si="1168"/>
        <v>4104</v>
      </c>
      <c r="N2533">
        <f t="shared" si="1169"/>
        <v>456</v>
      </c>
    </row>
    <row r="2534" spans="1:14" x14ac:dyDescent="0.25">
      <c r="A2534">
        <v>9</v>
      </c>
      <c r="B2534" s="1">
        <v>44044</v>
      </c>
      <c r="C2534" t="str">
        <f t="shared" si="1167"/>
        <v>agosto</v>
      </c>
      <c r="D2534" t="s">
        <v>56</v>
      </c>
      <c r="F2534" t="s">
        <v>38</v>
      </c>
      <c r="G2534">
        <v>4</v>
      </c>
      <c r="H2534">
        <v>100</v>
      </c>
      <c r="I2534">
        <f t="shared" si="1166"/>
        <v>400</v>
      </c>
      <c r="J2534" t="s">
        <v>164</v>
      </c>
      <c r="K2534">
        <v>80</v>
      </c>
      <c r="M2534">
        <f t="shared" si="1168"/>
        <v>320</v>
      </c>
      <c r="N2534">
        <f t="shared" si="1169"/>
        <v>80</v>
      </c>
    </row>
    <row r="2535" spans="1:14" x14ac:dyDescent="0.25">
      <c r="A2535">
        <v>10</v>
      </c>
      <c r="B2535" s="1">
        <v>44044</v>
      </c>
      <c r="C2535" t="str">
        <f t="shared" si="1167"/>
        <v>agosto</v>
      </c>
      <c r="D2535" t="s">
        <v>44</v>
      </c>
      <c r="F2535" t="s">
        <v>382</v>
      </c>
      <c r="G2535">
        <v>1</v>
      </c>
      <c r="H2535">
        <v>35</v>
      </c>
      <c r="I2535">
        <f t="shared" si="1166"/>
        <v>35</v>
      </c>
      <c r="J2535" t="s">
        <v>166</v>
      </c>
      <c r="K2535">
        <v>22</v>
      </c>
      <c r="M2535">
        <f t="shared" si="1168"/>
        <v>22</v>
      </c>
      <c r="N2535">
        <f t="shared" si="1169"/>
        <v>13</v>
      </c>
    </row>
    <row r="2536" spans="1:14" x14ac:dyDescent="0.25">
      <c r="A2536">
        <v>11</v>
      </c>
      <c r="B2536" s="1">
        <v>44044</v>
      </c>
      <c r="C2536" t="str">
        <f t="shared" si="1167"/>
        <v>agosto</v>
      </c>
      <c r="D2536" t="s">
        <v>25</v>
      </c>
      <c r="F2536" t="s">
        <v>337</v>
      </c>
      <c r="G2536">
        <v>1</v>
      </c>
      <c r="H2536">
        <v>60</v>
      </c>
      <c r="I2536">
        <f t="shared" si="1166"/>
        <v>60</v>
      </c>
      <c r="J2536" t="s">
        <v>165</v>
      </c>
      <c r="K2536">
        <v>33</v>
      </c>
      <c r="M2536">
        <f t="shared" si="1168"/>
        <v>33</v>
      </c>
      <c r="N2536">
        <f t="shared" si="1169"/>
        <v>27</v>
      </c>
    </row>
    <row r="2537" spans="1:14" x14ac:dyDescent="0.25">
      <c r="A2537">
        <v>12</v>
      </c>
      <c r="B2537" s="1">
        <v>44044</v>
      </c>
      <c r="C2537" t="str">
        <f t="shared" si="1167"/>
        <v>agosto</v>
      </c>
      <c r="D2537" t="s">
        <v>26</v>
      </c>
      <c r="F2537" t="s">
        <v>47</v>
      </c>
      <c r="G2537">
        <f>9/4*1.44</f>
        <v>3.2399999999999998</v>
      </c>
      <c r="H2537">
        <v>350</v>
      </c>
      <c r="I2537">
        <f t="shared" si="1166"/>
        <v>1134</v>
      </c>
      <c r="J2537" t="s">
        <v>99</v>
      </c>
      <c r="K2537">
        <v>260</v>
      </c>
      <c r="M2537">
        <f t="shared" si="1168"/>
        <v>842.4</v>
      </c>
      <c r="N2537">
        <f t="shared" si="1169"/>
        <v>291.60000000000002</v>
      </c>
    </row>
    <row r="2538" spans="1:14" x14ac:dyDescent="0.25">
      <c r="A2538">
        <v>13</v>
      </c>
      <c r="B2538" s="1">
        <v>44044</v>
      </c>
      <c r="C2538" t="str">
        <f t="shared" si="1167"/>
        <v>agosto</v>
      </c>
      <c r="D2538" t="s">
        <v>25</v>
      </c>
      <c r="F2538" t="s">
        <v>127</v>
      </c>
      <c r="G2538">
        <v>1</v>
      </c>
      <c r="H2538">
        <v>60</v>
      </c>
      <c r="I2538">
        <f t="shared" si="1166"/>
        <v>60</v>
      </c>
      <c r="J2538" t="s">
        <v>165</v>
      </c>
      <c r="K2538">
        <v>33</v>
      </c>
      <c r="M2538">
        <f t="shared" si="1168"/>
        <v>33</v>
      </c>
      <c r="N2538">
        <f t="shared" si="1169"/>
        <v>27</v>
      </c>
    </row>
    <row r="2539" spans="1:14" x14ac:dyDescent="0.25">
      <c r="A2539">
        <v>14</v>
      </c>
      <c r="B2539" s="1">
        <v>44044</v>
      </c>
      <c r="C2539" t="str">
        <f t="shared" si="1167"/>
        <v>agosto</v>
      </c>
      <c r="D2539" t="s">
        <v>23</v>
      </c>
      <c r="F2539" t="s">
        <v>456</v>
      </c>
      <c r="G2539">
        <v>2</v>
      </c>
      <c r="H2539">
        <v>250</v>
      </c>
      <c r="I2539">
        <f t="shared" si="1166"/>
        <v>500</v>
      </c>
      <c r="J2539" t="s">
        <v>163</v>
      </c>
      <c r="K2539">
        <v>0</v>
      </c>
      <c r="M2539" t="str">
        <f t="shared" si="1168"/>
        <v/>
      </c>
      <c r="N2539" t="str">
        <f t="shared" si="1169"/>
        <v/>
      </c>
    </row>
    <row r="2540" spans="1:14" x14ac:dyDescent="0.25">
      <c r="A2540">
        <v>15</v>
      </c>
      <c r="B2540" s="1">
        <v>44044</v>
      </c>
      <c r="C2540" t="str">
        <f t="shared" si="1167"/>
        <v>agosto</v>
      </c>
      <c r="D2540" t="s">
        <v>25</v>
      </c>
      <c r="F2540" t="s">
        <v>128</v>
      </c>
      <c r="G2540">
        <v>1</v>
      </c>
      <c r="H2540">
        <v>60</v>
      </c>
      <c r="I2540">
        <f t="shared" si="1166"/>
        <v>60</v>
      </c>
      <c r="J2540" t="s">
        <v>165</v>
      </c>
      <c r="K2540">
        <v>33</v>
      </c>
      <c r="M2540">
        <f t="shared" si="1168"/>
        <v>33</v>
      </c>
      <c r="N2540">
        <f t="shared" si="1169"/>
        <v>27</v>
      </c>
    </row>
    <row r="2541" spans="1:14" x14ac:dyDescent="0.25">
      <c r="A2541">
        <v>16</v>
      </c>
      <c r="B2541" s="1">
        <v>44044</v>
      </c>
      <c r="C2541" t="str">
        <f t="shared" si="1167"/>
        <v>agosto</v>
      </c>
      <c r="D2541" t="s">
        <v>25</v>
      </c>
      <c r="F2541" t="s">
        <v>57</v>
      </c>
      <c r="G2541">
        <v>1</v>
      </c>
      <c r="H2541">
        <v>60</v>
      </c>
      <c r="I2541">
        <f t="shared" si="1166"/>
        <v>60</v>
      </c>
      <c r="J2541" t="s">
        <v>165</v>
      </c>
      <c r="K2541">
        <v>33</v>
      </c>
      <c r="M2541">
        <f t="shared" si="1168"/>
        <v>33</v>
      </c>
      <c r="N2541">
        <f t="shared" si="1169"/>
        <v>27</v>
      </c>
    </row>
    <row r="2542" spans="1:14" x14ac:dyDescent="0.25">
      <c r="A2542">
        <v>17</v>
      </c>
      <c r="B2542" s="1">
        <v>44044</v>
      </c>
      <c r="C2542" t="str">
        <f t="shared" si="1167"/>
        <v>agosto</v>
      </c>
      <c r="D2542" t="s">
        <v>15</v>
      </c>
      <c r="F2542" t="s">
        <v>356</v>
      </c>
      <c r="G2542">
        <v>0.5</v>
      </c>
      <c r="H2542">
        <v>240</v>
      </c>
      <c r="I2542">
        <f t="shared" si="1166"/>
        <v>120</v>
      </c>
      <c r="J2542" t="s">
        <v>167</v>
      </c>
      <c r="K2542">
        <v>206</v>
      </c>
      <c r="M2542">
        <f t="shared" si="1168"/>
        <v>103</v>
      </c>
      <c r="N2542">
        <f t="shared" si="1169"/>
        <v>17</v>
      </c>
    </row>
    <row r="2543" spans="1:14" x14ac:dyDescent="0.25">
      <c r="A2543">
        <v>18</v>
      </c>
      <c r="B2543" s="1">
        <v>44044</v>
      </c>
      <c r="C2543" t="str">
        <f t="shared" si="1167"/>
        <v>agosto</v>
      </c>
      <c r="D2543" t="s">
        <v>55</v>
      </c>
      <c r="F2543" t="s">
        <v>398</v>
      </c>
      <c r="G2543">
        <f>4+15/16</f>
        <v>4.9375</v>
      </c>
      <c r="H2543">
        <v>250</v>
      </c>
      <c r="I2543">
        <f t="shared" si="1166"/>
        <v>1234.375</v>
      </c>
      <c r="J2543" t="s">
        <v>167</v>
      </c>
      <c r="K2543">
        <v>207</v>
      </c>
      <c r="M2543">
        <f t="shared" si="1168"/>
        <v>1022.0625</v>
      </c>
      <c r="N2543">
        <f t="shared" si="1169"/>
        <v>212.3125</v>
      </c>
    </row>
    <row r="2544" spans="1:14" x14ac:dyDescent="0.25">
      <c r="A2544">
        <v>19</v>
      </c>
      <c r="B2544" s="1">
        <v>44046</v>
      </c>
      <c r="C2544" t="str">
        <f t="shared" si="1167"/>
        <v>agosto</v>
      </c>
      <c r="D2544" t="s">
        <v>56</v>
      </c>
      <c r="F2544" t="s">
        <v>176</v>
      </c>
      <c r="G2544">
        <v>2</v>
      </c>
      <c r="H2544">
        <v>260</v>
      </c>
      <c r="I2544">
        <f t="shared" si="1166"/>
        <v>520</v>
      </c>
      <c r="J2544" t="s">
        <v>163</v>
      </c>
      <c r="K2544">
        <v>200</v>
      </c>
      <c r="M2544">
        <f t="shared" si="1168"/>
        <v>400</v>
      </c>
      <c r="N2544">
        <f t="shared" si="1169"/>
        <v>120</v>
      </c>
    </row>
    <row r="2545" spans="1:14" x14ac:dyDescent="0.25">
      <c r="A2545">
        <v>20</v>
      </c>
      <c r="B2545" s="1">
        <v>44046</v>
      </c>
      <c r="C2545" t="str">
        <f t="shared" si="1167"/>
        <v>agosto</v>
      </c>
      <c r="D2545" t="s">
        <v>25</v>
      </c>
      <c r="F2545" t="s">
        <v>58</v>
      </c>
      <c r="G2545">
        <v>1</v>
      </c>
      <c r="H2545">
        <v>60</v>
      </c>
      <c r="I2545">
        <f t="shared" si="1166"/>
        <v>60</v>
      </c>
      <c r="J2545" t="s">
        <v>165</v>
      </c>
      <c r="K2545">
        <v>33</v>
      </c>
      <c r="M2545">
        <f t="shared" si="1168"/>
        <v>33</v>
      </c>
      <c r="N2545">
        <f t="shared" si="1169"/>
        <v>27</v>
      </c>
    </row>
    <row r="2546" spans="1:14" x14ac:dyDescent="0.25">
      <c r="A2546">
        <v>21</v>
      </c>
      <c r="B2546" s="1">
        <v>44046</v>
      </c>
      <c r="C2546" t="str">
        <f t="shared" si="1167"/>
        <v>agosto</v>
      </c>
      <c r="D2546" t="s">
        <v>15</v>
      </c>
      <c r="F2546" t="s">
        <v>391</v>
      </c>
      <c r="G2546">
        <v>2</v>
      </c>
      <c r="H2546">
        <v>250</v>
      </c>
      <c r="I2546">
        <f t="shared" si="1166"/>
        <v>500</v>
      </c>
      <c r="J2546" t="s">
        <v>167</v>
      </c>
      <c r="K2546">
        <v>219</v>
      </c>
      <c r="M2546">
        <f t="shared" si="1168"/>
        <v>438</v>
      </c>
      <c r="N2546">
        <f t="shared" si="1169"/>
        <v>62</v>
      </c>
    </row>
    <row r="2547" spans="1:14" x14ac:dyDescent="0.25">
      <c r="A2547">
        <v>22</v>
      </c>
      <c r="B2547" s="1">
        <v>44046</v>
      </c>
      <c r="C2547" t="str">
        <f t="shared" si="1167"/>
        <v>agosto</v>
      </c>
      <c r="D2547" t="s">
        <v>15</v>
      </c>
      <c r="F2547" t="s">
        <v>31</v>
      </c>
      <c r="G2547">
        <v>2</v>
      </c>
      <c r="H2547">
        <v>280</v>
      </c>
      <c r="I2547">
        <f t="shared" si="1166"/>
        <v>560</v>
      </c>
      <c r="J2547" t="s">
        <v>163</v>
      </c>
      <c r="K2547">
        <v>243</v>
      </c>
      <c r="M2547">
        <f t="shared" si="1168"/>
        <v>486</v>
      </c>
      <c r="N2547">
        <f t="shared" si="1169"/>
        <v>74</v>
      </c>
    </row>
    <row r="2548" spans="1:14" x14ac:dyDescent="0.25">
      <c r="A2548">
        <v>23</v>
      </c>
      <c r="B2548" s="1">
        <v>44046</v>
      </c>
      <c r="C2548" t="str">
        <f t="shared" si="1167"/>
        <v>agosto</v>
      </c>
      <c r="D2548" t="s">
        <v>26</v>
      </c>
      <c r="F2548" t="s">
        <v>47</v>
      </c>
      <c r="G2548">
        <v>18</v>
      </c>
      <c r="H2548">
        <v>350</v>
      </c>
      <c r="I2548">
        <f t="shared" si="1166"/>
        <v>6300</v>
      </c>
      <c r="J2548" t="s">
        <v>99</v>
      </c>
      <c r="K2548">
        <v>260</v>
      </c>
      <c r="M2548">
        <f t="shared" si="1168"/>
        <v>4680</v>
      </c>
      <c r="N2548">
        <f t="shared" si="1169"/>
        <v>1620</v>
      </c>
    </row>
    <row r="2549" spans="1:14" x14ac:dyDescent="0.25">
      <c r="A2549">
        <v>24</v>
      </c>
      <c r="B2549" s="1">
        <v>44046</v>
      </c>
      <c r="C2549" t="str">
        <f t="shared" si="1167"/>
        <v>agosto</v>
      </c>
      <c r="D2549" t="s">
        <v>15</v>
      </c>
      <c r="F2549" t="s">
        <v>17</v>
      </c>
      <c r="G2549">
        <v>4</v>
      </c>
      <c r="H2549">
        <v>360</v>
      </c>
      <c r="I2549">
        <f t="shared" si="1166"/>
        <v>1440</v>
      </c>
      <c r="J2549" t="s">
        <v>167</v>
      </c>
      <c r="K2549">
        <v>306</v>
      </c>
      <c r="M2549">
        <f t="shared" si="1168"/>
        <v>1224</v>
      </c>
      <c r="N2549">
        <f t="shared" si="1169"/>
        <v>216</v>
      </c>
    </row>
    <row r="2550" spans="1:14" x14ac:dyDescent="0.25">
      <c r="A2550">
        <v>25</v>
      </c>
      <c r="B2550" s="1">
        <v>44046</v>
      </c>
      <c r="C2550" t="str">
        <f t="shared" si="1167"/>
        <v>agosto</v>
      </c>
      <c r="D2550" t="s">
        <v>44</v>
      </c>
      <c r="F2550" t="s">
        <v>138</v>
      </c>
      <c r="G2550">
        <v>1</v>
      </c>
      <c r="H2550">
        <v>35</v>
      </c>
      <c r="I2550">
        <f t="shared" si="1166"/>
        <v>35</v>
      </c>
      <c r="J2550" t="s">
        <v>166</v>
      </c>
      <c r="K2550">
        <v>29</v>
      </c>
      <c r="M2550">
        <f t="shared" si="1168"/>
        <v>29</v>
      </c>
      <c r="N2550">
        <f t="shared" si="1169"/>
        <v>6</v>
      </c>
    </row>
    <row r="2551" spans="1:14" x14ac:dyDescent="0.25">
      <c r="A2551">
        <v>26</v>
      </c>
      <c r="B2551" s="1">
        <v>44046</v>
      </c>
      <c r="C2551" t="str">
        <f t="shared" si="1167"/>
        <v>agosto</v>
      </c>
      <c r="D2551" t="s">
        <v>15</v>
      </c>
      <c r="F2551" t="s">
        <v>391</v>
      </c>
      <c r="G2551">
        <f>3/10</f>
        <v>0.3</v>
      </c>
      <c r="H2551">
        <v>250</v>
      </c>
      <c r="I2551">
        <f t="shared" si="1166"/>
        <v>75</v>
      </c>
      <c r="J2551" t="s">
        <v>167</v>
      </c>
      <c r="K2551">
        <v>219</v>
      </c>
      <c r="M2551">
        <f t="shared" si="1168"/>
        <v>65.7</v>
      </c>
      <c r="N2551">
        <f t="shared" si="1169"/>
        <v>9.2999999999999972</v>
      </c>
    </row>
    <row r="2552" spans="1:14" x14ac:dyDescent="0.25">
      <c r="A2552">
        <v>27</v>
      </c>
      <c r="B2552" s="1">
        <v>44046</v>
      </c>
      <c r="C2552" t="str">
        <f t="shared" si="1167"/>
        <v>agosto</v>
      </c>
      <c r="D2552" t="s">
        <v>15</v>
      </c>
      <c r="F2552" t="s">
        <v>356</v>
      </c>
      <c r="G2552">
        <v>0.3</v>
      </c>
      <c r="H2552">
        <v>240</v>
      </c>
      <c r="I2552">
        <f t="shared" si="1166"/>
        <v>72</v>
      </c>
      <c r="J2552" t="s">
        <v>167</v>
      </c>
      <c r="K2552">
        <v>207</v>
      </c>
      <c r="M2552">
        <f t="shared" si="1168"/>
        <v>62.099999999999994</v>
      </c>
      <c r="N2552">
        <f t="shared" si="1169"/>
        <v>9.9000000000000057</v>
      </c>
    </row>
    <row r="2553" spans="1:14" x14ac:dyDescent="0.25">
      <c r="A2553">
        <v>28</v>
      </c>
      <c r="B2553" s="1">
        <v>44046</v>
      </c>
      <c r="C2553" t="str">
        <f t="shared" si="1167"/>
        <v>agosto</v>
      </c>
      <c r="D2553" t="s">
        <v>55</v>
      </c>
      <c r="F2553" t="s">
        <v>416</v>
      </c>
      <c r="G2553">
        <v>22</v>
      </c>
      <c r="H2553">
        <v>260</v>
      </c>
      <c r="I2553">
        <f t="shared" si="1166"/>
        <v>5720</v>
      </c>
      <c r="J2553" t="s">
        <v>167</v>
      </c>
      <c r="K2553">
        <v>207</v>
      </c>
      <c r="M2553">
        <f t="shared" si="1168"/>
        <v>4554</v>
      </c>
      <c r="N2553">
        <f t="shared" si="1169"/>
        <v>1166</v>
      </c>
    </row>
    <row r="2554" spans="1:14" x14ac:dyDescent="0.25">
      <c r="A2554">
        <v>29</v>
      </c>
      <c r="B2554" s="1">
        <v>44046</v>
      </c>
      <c r="C2554" t="str">
        <f t="shared" si="1167"/>
        <v>agosto</v>
      </c>
      <c r="D2554" t="s">
        <v>15</v>
      </c>
      <c r="F2554" t="s">
        <v>343</v>
      </c>
      <c r="G2554">
        <v>2</v>
      </c>
      <c r="H2554">
        <v>240</v>
      </c>
      <c r="I2554">
        <f t="shared" si="1166"/>
        <v>480</v>
      </c>
      <c r="J2554" t="s">
        <v>167</v>
      </c>
      <c r="K2554">
        <v>219</v>
      </c>
      <c r="M2554">
        <f t="shared" si="1168"/>
        <v>438</v>
      </c>
      <c r="N2554">
        <f t="shared" si="1169"/>
        <v>42</v>
      </c>
    </row>
    <row r="2555" spans="1:14" x14ac:dyDescent="0.25">
      <c r="A2555">
        <v>30</v>
      </c>
      <c r="B2555" s="1">
        <v>44046</v>
      </c>
      <c r="C2555" t="str">
        <f t="shared" si="1167"/>
        <v>agosto</v>
      </c>
      <c r="D2555" t="s">
        <v>55</v>
      </c>
      <c r="F2555" t="s">
        <v>416</v>
      </c>
      <c r="G2555">
        <v>3.3</v>
      </c>
      <c r="H2555">
        <v>260</v>
      </c>
      <c r="I2555">
        <f t="shared" si="1166"/>
        <v>858</v>
      </c>
      <c r="J2555" t="s">
        <v>167</v>
      </c>
      <c r="K2555">
        <v>207</v>
      </c>
      <c r="M2555">
        <f t="shared" si="1168"/>
        <v>683.09999999999991</v>
      </c>
      <c r="N2555">
        <f t="shared" si="1169"/>
        <v>174.90000000000009</v>
      </c>
    </row>
    <row r="2556" spans="1:14" x14ac:dyDescent="0.25">
      <c r="A2556">
        <v>31</v>
      </c>
      <c r="B2556" s="1">
        <v>44046</v>
      </c>
      <c r="C2556" t="str">
        <f t="shared" si="1167"/>
        <v>agosto</v>
      </c>
      <c r="D2556" t="s">
        <v>55</v>
      </c>
      <c r="F2556" t="s">
        <v>416</v>
      </c>
      <c r="G2556">
        <v>3.5</v>
      </c>
      <c r="H2556">
        <v>260</v>
      </c>
      <c r="I2556">
        <f t="shared" si="1166"/>
        <v>910</v>
      </c>
      <c r="J2556" t="s">
        <v>167</v>
      </c>
      <c r="K2556">
        <v>207</v>
      </c>
      <c r="M2556">
        <f t="shared" si="1168"/>
        <v>724.5</v>
      </c>
      <c r="N2556">
        <f t="shared" si="1169"/>
        <v>185.5</v>
      </c>
    </row>
    <row r="2557" spans="1:14" x14ac:dyDescent="0.25">
      <c r="A2557">
        <v>32</v>
      </c>
      <c r="B2557" s="1">
        <v>44046</v>
      </c>
      <c r="C2557" t="str">
        <f t="shared" si="1167"/>
        <v>agosto</v>
      </c>
      <c r="D2557" t="s">
        <v>44</v>
      </c>
      <c r="F2557" t="s">
        <v>138</v>
      </c>
      <c r="G2557">
        <v>2</v>
      </c>
      <c r="H2557">
        <v>35</v>
      </c>
      <c r="I2557">
        <f t="shared" si="1166"/>
        <v>70</v>
      </c>
      <c r="J2557" t="s">
        <v>166</v>
      </c>
      <c r="K2557">
        <v>29</v>
      </c>
      <c r="M2557">
        <f t="shared" si="1168"/>
        <v>58</v>
      </c>
      <c r="N2557">
        <f t="shared" si="1169"/>
        <v>12</v>
      </c>
    </row>
    <row r="2558" spans="1:14" x14ac:dyDescent="0.25">
      <c r="A2558">
        <v>33</v>
      </c>
      <c r="B2558" s="1">
        <v>44046</v>
      </c>
      <c r="C2558" t="str">
        <f t="shared" si="1167"/>
        <v>agosto</v>
      </c>
      <c r="D2558" t="s">
        <v>15</v>
      </c>
      <c r="F2558" t="s">
        <v>385</v>
      </c>
      <c r="G2558">
        <v>50.14</v>
      </c>
      <c r="H2558">
        <v>230</v>
      </c>
      <c r="I2558">
        <f t="shared" si="1166"/>
        <v>11532.2</v>
      </c>
      <c r="J2558" t="s">
        <v>167</v>
      </c>
      <c r="K2558">
        <v>207</v>
      </c>
      <c r="M2558">
        <f t="shared" si="1168"/>
        <v>10378.98</v>
      </c>
      <c r="N2558">
        <f t="shared" si="1169"/>
        <v>1153.2200000000012</v>
      </c>
    </row>
    <row r="2559" spans="1:14" x14ac:dyDescent="0.25">
      <c r="A2559">
        <v>34</v>
      </c>
      <c r="B2559" s="1">
        <v>44047</v>
      </c>
      <c r="C2559" t="str">
        <f t="shared" si="1167"/>
        <v>agosto</v>
      </c>
      <c r="D2559" t="s">
        <v>56</v>
      </c>
      <c r="F2559" t="s">
        <v>267</v>
      </c>
      <c r="G2559">
        <v>5</v>
      </c>
      <c r="H2559">
        <v>170</v>
      </c>
      <c r="I2559">
        <f t="shared" si="1166"/>
        <v>850</v>
      </c>
      <c r="J2559" t="s">
        <v>163</v>
      </c>
      <c r="K2559">
        <v>123</v>
      </c>
      <c r="M2559">
        <f t="shared" si="1168"/>
        <v>615</v>
      </c>
      <c r="N2559">
        <f t="shared" si="1169"/>
        <v>235</v>
      </c>
    </row>
    <row r="2560" spans="1:14" x14ac:dyDescent="0.25">
      <c r="A2560">
        <v>35</v>
      </c>
      <c r="B2560" s="1">
        <v>44047</v>
      </c>
      <c r="C2560" t="str">
        <f t="shared" si="1167"/>
        <v>agosto</v>
      </c>
      <c r="D2560" t="s">
        <v>15</v>
      </c>
      <c r="F2560" t="s">
        <v>29</v>
      </c>
      <c r="G2560">
        <v>2</v>
      </c>
      <c r="H2560">
        <v>240</v>
      </c>
      <c r="I2560">
        <f t="shared" si="1166"/>
        <v>480</v>
      </c>
      <c r="J2560" t="s">
        <v>163</v>
      </c>
      <c r="K2560">
        <v>211</v>
      </c>
      <c r="M2560">
        <f t="shared" si="1168"/>
        <v>422</v>
      </c>
      <c r="N2560">
        <f t="shared" si="1169"/>
        <v>58</v>
      </c>
    </row>
    <row r="2561" spans="1:14" x14ac:dyDescent="0.25">
      <c r="A2561">
        <v>36</v>
      </c>
      <c r="B2561" s="1">
        <v>44047</v>
      </c>
      <c r="C2561" t="str">
        <f t="shared" si="1167"/>
        <v>agosto</v>
      </c>
      <c r="D2561" t="s">
        <v>56</v>
      </c>
      <c r="F2561" t="s">
        <v>267</v>
      </c>
      <c r="G2561">
        <v>1</v>
      </c>
      <c r="H2561">
        <v>170</v>
      </c>
      <c r="I2561">
        <f t="shared" si="1166"/>
        <v>170</v>
      </c>
      <c r="J2561" t="s">
        <v>163</v>
      </c>
      <c r="K2561">
        <v>123</v>
      </c>
      <c r="M2561">
        <f t="shared" si="1168"/>
        <v>123</v>
      </c>
      <c r="N2561">
        <f t="shared" si="1169"/>
        <v>47</v>
      </c>
    </row>
    <row r="2562" spans="1:14" x14ac:dyDescent="0.25">
      <c r="A2562">
        <v>37</v>
      </c>
      <c r="B2562" s="1">
        <v>44047</v>
      </c>
      <c r="C2562" t="str">
        <f t="shared" si="1167"/>
        <v>agosto</v>
      </c>
      <c r="D2562" t="s">
        <v>15</v>
      </c>
      <c r="F2562" t="s">
        <v>343</v>
      </c>
      <c r="G2562">
        <v>2.5</v>
      </c>
      <c r="H2562">
        <v>280</v>
      </c>
      <c r="I2562">
        <f t="shared" si="1166"/>
        <v>700</v>
      </c>
      <c r="J2562" t="s">
        <v>167</v>
      </c>
      <c r="K2562">
        <v>219</v>
      </c>
      <c r="M2562">
        <f t="shared" si="1168"/>
        <v>547.5</v>
      </c>
      <c r="N2562">
        <f t="shared" si="1169"/>
        <v>152.5</v>
      </c>
    </row>
    <row r="2563" spans="1:14" x14ac:dyDescent="0.25">
      <c r="A2563">
        <v>38</v>
      </c>
      <c r="B2563" s="1">
        <v>44047</v>
      </c>
      <c r="C2563" t="str">
        <f t="shared" si="1167"/>
        <v>agosto</v>
      </c>
      <c r="D2563" t="s">
        <v>56</v>
      </c>
      <c r="F2563" t="s">
        <v>267</v>
      </c>
      <c r="G2563">
        <v>1</v>
      </c>
      <c r="H2563">
        <v>170</v>
      </c>
      <c r="I2563">
        <f t="shared" si="1166"/>
        <v>170</v>
      </c>
      <c r="J2563" t="s">
        <v>163</v>
      </c>
      <c r="K2563">
        <v>123</v>
      </c>
      <c r="M2563">
        <f t="shared" si="1168"/>
        <v>123</v>
      </c>
      <c r="N2563">
        <f t="shared" si="1169"/>
        <v>47</v>
      </c>
    </row>
    <row r="2564" spans="1:14" x14ac:dyDescent="0.25">
      <c r="A2564">
        <v>39</v>
      </c>
      <c r="B2564" s="1">
        <v>44047</v>
      </c>
      <c r="C2564" t="str">
        <f t="shared" si="1167"/>
        <v>agosto</v>
      </c>
      <c r="D2564" t="s">
        <v>55</v>
      </c>
      <c r="F2564" t="s">
        <v>149</v>
      </c>
      <c r="G2564">
        <v>4</v>
      </c>
      <c r="H2564">
        <v>300</v>
      </c>
      <c r="I2564">
        <f t="shared" si="1166"/>
        <v>1200</v>
      </c>
      <c r="J2564" t="s">
        <v>167</v>
      </c>
      <c r="K2564">
        <v>268</v>
      </c>
      <c r="M2564">
        <f t="shared" si="1168"/>
        <v>1072</v>
      </c>
      <c r="N2564">
        <f t="shared" si="1169"/>
        <v>128</v>
      </c>
    </row>
    <row r="2565" spans="1:14" x14ac:dyDescent="0.25">
      <c r="A2565">
        <v>40</v>
      </c>
      <c r="B2565" s="1">
        <v>44047</v>
      </c>
      <c r="C2565" t="str">
        <f t="shared" si="1167"/>
        <v>agosto</v>
      </c>
      <c r="D2565" t="s">
        <v>85</v>
      </c>
      <c r="F2565" t="s">
        <v>84</v>
      </c>
      <c r="G2565">
        <v>1</v>
      </c>
      <c r="H2565">
        <v>80</v>
      </c>
      <c r="I2565">
        <f t="shared" si="1166"/>
        <v>80</v>
      </c>
      <c r="J2565" t="s">
        <v>166</v>
      </c>
      <c r="M2565" t="str">
        <f t="shared" si="1168"/>
        <v/>
      </c>
      <c r="N2565" t="str">
        <f t="shared" si="1169"/>
        <v/>
      </c>
    </row>
    <row r="2566" spans="1:14" x14ac:dyDescent="0.25">
      <c r="A2566">
        <v>41</v>
      </c>
      <c r="B2566" s="1">
        <v>44047</v>
      </c>
      <c r="C2566" t="str">
        <f t="shared" si="1167"/>
        <v>agosto</v>
      </c>
      <c r="D2566" t="s">
        <v>85</v>
      </c>
      <c r="F2566" t="s">
        <v>379</v>
      </c>
      <c r="G2566">
        <v>1</v>
      </c>
      <c r="H2566">
        <v>75</v>
      </c>
      <c r="I2566">
        <f t="shared" si="1166"/>
        <v>75</v>
      </c>
      <c r="J2566" t="s">
        <v>166</v>
      </c>
      <c r="M2566" t="str">
        <f t="shared" si="1168"/>
        <v/>
      </c>
      <c r="N2566" t="str">
        <f t="shared" si="1169"/>
        <v/>
      </c>
    </row>
    <row r="2567" spans="1:14" x14ac:dyDescent="0.25">
      <c r="A2567">
        <v>42</v>
      </c>
      <c r="B2567" s="1">
        <v>44047</v>
      </c>
      <c r="C2567" t="str">
        <f t="shared" si="1167"/>
        <v>agosto</v>
      </c>
      <c r="D2567" t="s">
        <v>15</v>
      </c>
      <c r="F2567" t="s">
        <v>426</v>
      </c>
      <c r="G2567">
        <v>22</v>
      </c>
      <c r="H2567">
        <v>355</v>
      </c>
      <c r="I2567">
        <f t="shared" si="1166"/>
        <v>7810</v>
      </c>
      <c r="J2567" t="s">
        <v>167</v>
      </c>
      <c r="K2567">
        <v>306</v>
      </c>
      <c r="M2567">
        <f t="shared" si="1168"/>
        <v>6732</v>
      </c>
      <c r="N2567">
        <f t="shared" si="1169"/>
        <v>1078</v>
      </c>
    </row>
    <row r="2568" spans="1:14" x14ac:dyDescent="0.25">
      <c r="A2568">
        <v>43</v>
      </c>
      <c r="B2568" s="1">
        <v>44047</v>
      </c>
      <c r="C2568" t="str">
        <f t="shared" si="1167"/>
        <v>agosto</v>
      </c>
      <c r="D2568" t="s">
        <v>75</v>
      </c>
      <c r="F2568" t="s">
        <v>442</v>
      </c>
      <c r="G2568">
        <v>21</v>
      </c>
      <c r="H2568">
        <v>40</v>
      </c>
      <c r="I2568">
        <f t="shared" si="1166"/>
        <v>840</v>
      </c>
      <c r="J2568" t="s">
        <v>163</v>
      </c>
      <c r="K2568">
        <v>27</v>
      </c>
      <c r="M2568">
        <f t="shared" si="1168"/>
        <v>567</v>
      </c>
      <c r="N2568">
        <f t="shared" si="1169"/>
        <v>273</v>
      </c>
    </row>
    <row r="2569" spans="1:14" x14ac:dyDescent="0.25">
      <c r="A2569">
        <v>44</v>
      </c>
      <c r="B2569" s="1">
        <v>44047</v>
      </c>
      <c r="C2569" t="str">
        <f t="shared" si="1167"/>
        <v>agosto</v>
      </c>
      <c r="D2569" t="s">
        <v>15</v>
      </c>
      <c r="F2569" t="s">
        <v>29</v>
      </c>
      <c r="G2569">
        <v>18.5</v>
      </c>
      <c r="H2569">
        <v>240</v>
      </c>
      <c r="I2569">
        <f t="shared" si="1166"/>
        <v>4440</v>
      </c>
      <c r="J2569" t="s">
        <v>163</v>
      </c>
      <c r="K2569">
        <v>211</v>
      </c>
      <c r="M2569">
        <f t="shared" si="1168"/>
        <v>3903.5</v>
      </c>
      <c r="N2569">
        <f t="shared" si="1169"/>
        <v>536.5</v>
      </c>
    </row>
    <row r="2570" spans="1:14" x14ac:dyDescent="0.25">
      <c r="A2570">
        <v>45</v>
      </c>
      <c r="B2570" s="1">
        <v>44047</v>
      </c>
      <c r="C2570" t="str">
        <f t="shared" si="1167"/>
        <v>agosto</v>
      </c>
      <c r="D2570" t="s">
        <v>25</v>
      </c>
      <c r="F2570" t="s">
        <v>127</v>
      </c>
      <c r="G2570">
        <v>2</v>
      </c>
      <c r="H2570">
        <v>60</v>
      </c>
      <c r="I2570">
        <f t="shared" si="1166"/>
        <v>120</v>
      </c>
      <c r="J2570" t="s">
        <v>165</v>
      </c>
      <c r="K2570">
        <v>33</v>
      </c>
      <c r="M2570">
        <f t="shared" si="1168"/>
        <v>66</v>
      </c>
      <c r="N2570">
        <f t="shared" si="1169"/>
        <v>54</v>
      </c>
    </row>
    <row r="2571" spans="1:14" x14ac:dyDescent="0.25">
      <c r="A2571">
        <v>46</v>
      </c>
      <c r="B2571" s="1">
        <v>44047</v>
      </c>
      <c r="C2571" t="str">
        <f t="shared" si="1167"/>
        <v>agosto</v>
      </c>
      <c r="D2571" t="s">
        <v>23</v>
      </c>
      <c r="F2571" t="s">
        <v>66</v>
      </c>
      <c r="G2571">
        <v>1</v>
      </c>
      <c r="H2571">
        <v>120</v>
      </c>
      <c r="I2571">
        <f t="shared" si="1166"/>
        <v>120</v>
      </c>
      <c r="J2571" t="s">
        <v>187</v>
      </c>
      <c r="K2571">
        <v>107</v>
      </c>
      <c r="M2571">
        <f t="shared" si="1168"/>
        <v>107</v>
      </c>
      <c r="N2571">
        <f t="shared" si="1169"/>
        <v>13</v>
      </c>
    </row>
    <row r="2572" spans="1:14" x14ac:dyDescent="0.25">
      <c r="A2572">
        <v>47</v>
      </c>
      <c r="B2572" s="1">
        <v>44048</v>
      </c>
      <c r="C2572" t="str">
        <f t="shared" si="1167"/>
        <v>agosto</v>
      </c>
      <c r="D2572" t="s">
        <v>55</v>
      </c>
      <c r="F2572" t="s">
        <v>454</v>
      </c>
      <c r="G2572">
        <v>0.5</v>
      </c>
      <c r="H2572">
        <v>300</v>
      </c>
      <c r="I2572">
        <f t="shared" si="1166"/>
        <v>150</v>
      </c>
      <c r="J2572" t="s">
        <v>167</v>
      </c>
      <c r="K2572">
        <v>268</v>
      </c>
      <c r="M2572">
        <f t="shared" si="1168"/>
        <v>134</v>
      </c>
      <c r="N2572">
        <f t="shared" si="1169"/>
        <v>16</v>
      </c>
    </row>
    <row r="2573" spans="1:14" x14ac:dyDescent="0.25">
      <c r="A2573">
        <v>48</v>
      </c>
      <c r="B2573" s="1">
        <v>44048</v>
      </c>
      <c r="C2573" t="str">
        <f t="shared" si="1167"/>
        <v>agosto</v>
      </c>
      <c r="D2573" t="s">
        <v>15</v>
      </c>
      <c r="F2573" t="s">
        <v>356</v>
      </c>
      <c r="G2573">
        <v>29</v>
      </c>
      <c r="H2573">
        <v>240</v>
      </c>
      <c r="I2573">
        <f t="shared" si="1166"/>
        <v>6960</v>
      </c>
      <c r="J2573" t="s">
        <v>167</v>
      </c>
      <c r="K2573">
        <v>207</v>
      </c>
      <c r="M2573">
        <f t="shared" si="1168"/>
        <v>6003</v>
      </c>
      <c r="N2573">
        <f t="shared" si="1169"/>
        <v>957</v>
      </c>
    </row>
    <row r="2574" spans="1:14" x14ac:dyDescent="0.25">
      <c r="A2574">
        <v>49</v>
      </c>
      <c r="B2574" s="1">
        <v>44048</v>
      </c>
      <c r="C2574" t="str">
        <f t="shared" si="1167"/>
        <v>agosto</v>
      </c>
      <c r="D2574" t="s">
        <v>15</v>
      </c>
      <c r="F2574" t="s">
        <v>29</v>
      </c>
      <c r="G2574">
        <v>32</v>
      </c>
      <c r="H2574">
        <v>240</v>
      </c>
      <c r="I2574">
        <f t="shared" si="1166"/>
        <v>7680</v>
      </c>
      <c r="J2574" t="s">
        <v>163</v>
      </c>
      <c r="K2574">
        <v>211</v>
      </c>
      <c r="M2574">
        <f t="shared" si="1168"/>
        <v>6752</v>
      </c>
      <c r="N2574">
        <f t="shared" si="1169"/>
        <v>928</v>
      </c>
    </row>
    <row r="2575" spans="1:14" x14ac:dyDescent="0.25">
      <c r="A2575">
        <v>50</v>
      </c>
      <c r="B2575" s="1">
        <v>44048</v>
      </c>
      <c r="C2575" t="str">
        <f t="shared" si="1167"/>
        <v>agosto</v>
      </c>
      <c r="D2575" t="s">
        <v>56</v>
      </c>
      <c r="F2575" t="s">
        <v>267</v>
      </c>
      <c r="G2575">
        <v>3</v>
      </c>
      <c r="H2575">
        <v>170</v>
      </c>
      <c r="I2575">
        <f t="shared" si="1166"/>
        <v>510</v>
      </c>
      <c r="J2575" t="s">
        <v>163</v>
      </c>
      <c r="K2575">
        <v>123</v>
      </c>
      <c r="M2575">
        <f t="shared" si="1168"/>
        <v>369</v>
      </c>
      <c r="N2575">
        <f t="shared" si="1169"/>
        <v>141</v>
      </c>
    </row>
    <row r="2576" spans="1:14" x14ac:dyDescent="0.25">
      <c r="A2576">
        <v>51</v>
      </c>
      <c r="B2576" s="1">
        <v>44048</v>
      </c>
      <c r="C2576" t="str">
        <f t="shared" si="1167"/>
        <v>agosto</v>
      </c>
      <c r="D2576" t="s">
        <v>15</v>
      </c>
      <c r="F2576" t="s">
        <v>357</v>
      </c>
      <c r="G2576">
        <v>2</v>
      </c>
      <c r="H2576">
        <v>240</v>
      </c>
      <c r="I2576">
        <f t="shared" si="1166"/>
        <v>480</v>
      </c>
      <c r="J2576" t="s">
        <v>167</v>
      </c>
      <c r="K2576">
        <v>207</v>
      </c>
      <c r="M2576">
        <f t="shared" si="1168"/>
        <v>414</v>
      </c>
      <c r="N2576">
        <f t="shared" si="1169"/>
        <v>66</v>
      </c>
    </row>
    <row r="2577" spans="1:14" x14ac:dyDescent="0.25">
      <c r="A2577">
        <v>52</v>
      </c>
      <c r="B2577" s="1">
        <v>44048</v>
      </c>
      <c r="C2577" t="str">
        <f t="shared" si="1167"/>
        <v>agosto</v>
      </c>
      <c r="D2577" t="s">
        <v>26</v>
      </c>
      <c r="F2577" t="s">
        <v>47</v>
      </c>
      <c r="G2577">
        <v>10</v>
      </c>
      <c r="H2577">
        <v>350</v>
      </c>
      <c r="I2577">
        <f t="shared" si="1166"/>
        <v>3500</v>
      </c>
      <c r="J2577" t="s">
        <v>99</v>
      </c>
      <c r="K2577">
        <v>260</v>
      </c>
      <c r="M2577">
        <f t="shared" si="1168"/>
        <v>2600</v>
      </c>
      <c r="N2577">
        <f t="shared" si="1169"/>
        <v>900</v>
      </c>
    </row>
    <row r="2578" spans="1:14" x14ac:dyDescent="0.25">
      <c r="A2578">
        <v>53</v>
      </c>
      <c r="B2578" s="1">
        <v>44049</v>
      </c>
      <c r="C2578" t="str">
        <f t="shared" si="1167"/>
        <v>agosto</v>
      </c>
      <c r="D2578" t="s">
        <v>55</v>
      </c>
      <c r="F2578" t="s">
        <v>228</v>
      </c>
      <c r="G2578">
        <v>1</v>
      </c>
      <c r="H2578">
        <v>300</v>
      </c>
      <c r="I2578">
        <f t="shared" si="1166"/>
        <v>300</v>
      </c>
      <c r="J2578" t="s">
        <v>167</v>
      </c>
      <c r="K2578">
        <v>268</v>
      </c>
      <c r="M2578">
        <f t="shared" si="1168"/>
        <v>268</v>
      </c>
      <c r="N2578">
        <f t="shared" si="1169"/>
        <v>32</v>
      </c>
    </row>
    <row r="2579" spans="1:14" x14ac:dyDescent="0.25">
      <c r="A2579">
        <v>54</v>
      </c>
      <c r="B2579" s="1">
        <v>44049</v>
      </c>
      <c r="C2579" t="str">
        <f t="shared" si="1167"/>
        <v>agosto</v>
      </c>
      <c r="D2579" t="s">
        <v>15</v>
      </c>
      <c r="F2579" t="s">
        <v>385</v>
      </c>
      <c r="G2579">
        <v>69.849999999999994</v>
      </c>
      <c r="H2579">
        <v>230</v>
      </c>
      <c r="I2579">
        <f t="shared" si="1166"/>
        <v>16065.499999999998</v>
      </c>
      <c r="J2579" t="s">
        <v>167</v>
      </c>
      <c r="K2579">
        <v>207</v>
      </c>
      <c r="M2579">
        <f t="shared" si="1168"/>
        <v>14458.949999999999</v>
      </c>
      <c r="N2579">
        <f t="shared" si="1169"/>
        <v>1606.5499999999993</v>
      </c>
    </row>
    <row r="2580" spans="1:14" x14ac:dyDescent="0.25">
      <c r="A2580">
        <v>55</v>
      </c>
      <c r="B2580" s="1">
        <v>44049</v>
      </c>
      <c r="C2580" t="str">
        <f t="shared" si="1167"/>
        <v>agosto</v>
      </c>
      <c r="D2580" t="s">
        <v>15</v>
      </c>
      <c r="F2580" t="s">
        <v>28</v>
      </c>
      <c r="G2580">
        <v>5.77</v>
      </c>
      <c r="H2580">
        <v>240</v>
      </c>
      <c r="I2580">
        <f t="shared" si="1166"/>
        <v>1384.8</v>
      </c>
      <c r="J2580" t="s">
        <v>163</v>
      </c>
      <c r="K2580">
        <v>216</v>
      </c>
      <c r="M2580">
        <f t="shared" si="1168"/>
        <v>1246.32</v>
      </c>
      <c r="N2580">
        <f t="shared" si="1169"/>
        <v>138.48000000000002</v>
      </c>
    </row>
    <row r="2581" spans="1:14" x14ac:dyDescent="0.25">
      <c r="A2581">
        <v>56</v>
      </c>
      <c r="B2581" s="1">
        <v>44049</v>
      </c>
      <c r="C2581" t="str">
        <f t="shared" si="1167"/>
        <v>agosto</v>
      </c>
      <c r="D2581" t="s">
        <v>56</v>
      </c>
      <c r="F2581" t="s">
        <v>267</v>
      </c>
      <c r="G2581">
        <v>2</v>
      </c>
      <c r="H2581">
        <v>170</v>
      </c>
      <c r="I2581">
        <f t="shared" si="1166"/>
        <v>340</v>
      </c>
      <c r="J2581" t="s">
        <v>163</v>
      </c>
      <c r="K2581">
        <v>123</v>
      </c>
      <c r="M2581">
        <f t="shared" si="1168"/>
        <v>246</v>
      </c>
      <c r="N2581">
        <f t="shared" si="1169"/>
        <v>94</v>
      </c>
    </row>
    <row r="2582" spans="1:14" x14ac:dyDescent="0.25">
      <c r="A2582">
        <v>57</v>
      </c>
      <c r="B2582" s="1">
        <v>44049</v>
      </c>
      <c r="C2582" t="str">
        <f t="shared" si="1167"/>
        <v>agosto</v>
      </c>
      <c r="D2582" t="s">
        <v>55</v>
      </c>
      <c r="F2582" t="s">
        <v>22</v>
      </c>
      <c r="G2582">
        <v>11.56</v>
      </c>
      <c r="H2582">
        <v>300</v>
      </c>
      <c r="I2582">
        <f t="shared" si="1166"/>
        <v>3468</v>
      </c>
      <c r="J2582" t="s">
        <v>167</v>
      </c>
      <c r="K2582">
        <v>268</v>
      </c>
      <c r="M2582">
        <f t="shared" si="1168"/>
        <v>3098.08</v>
      </c>
      <c r="N2582">
        <f t="shared" si="1169"/>
        <v>369.92000000000007</v>
      </c>
    </row>
    <row r="2583" spans="1:14" x14ac:dyDescent="0.25">
      <c r="A2583">
        <v>58</v>
      </c>
      <c r="B2583" s="1">
        <v>44050</v>
      </c>
      <c r="C2583" t="str">
        <f t="shared" si="1167"/>
        <v>agosto</v>
      </c>
      <c r="D2583" t="s">
        <v>55</v>
      </c>
      <c r="F2583" t="s">
        <v>457</v>
      </c>
      <c r="G2583">
        <v>3</v>
      </c>
      <c r="H2583">
        <v>270</v>
      </c>
      <c r="I2583">
        <f t="shared" si="1166"/>
        <v>810</v>
      </c>
      <c r="J2583" t="s">
        <v>167</v>
      </c>
      <c r="K2583">
        <v>207</v>
      </c>
      <c r="M2583">
        <f t="shared" si="1168"/>
        <v>621</v>
      </c>
      <c r="N2583">
        <f t="shared" si="1169"/>
        <v>189</v>
      </c>
    </row>
    <row r="2584" spans="1:14" x14ac:dyDescent="0.25">
      <c r="A2584">
        <v>59</v>
      </c>
      <c r="B2584" s="1">
        <v>44050</v>
      </c>
      <c r="C2584" t="str">
        <f t="shared" si="1167"/>
        <v>agosto</v>
      </c>
      <c r="D2584" t="s">
        <v>70</v>
      </c>
      <c r="F2584" t="s">
        <v>227</v>
      </c>
      <c r="G2584">
        <v>1</v>
      </c>
      <c r="H2584">
        <v>1650</v>
      </c>
      <c r="I2584">
        <f t="shared" si="1166"/>
        <v>1650</v>
      </c>
      <c r="J2584" t="s">
        <v>167</v>
      </c>
      <c r="K2584">
        <v>1440</v>
      </c>
      <c r="M2584">
        <f t="shared" si="1168"/>
        <v>1440</v>
      </c>
      <c r="N2584">
        <f t="shared" si="1169"/>
        <v>210</v>
      </c>
    </row>
    <row r="2585" spans="1:14" x14ac:dyDescent="0.25">
      <c r="A2585">
        <v>60</v>
      </c>
      <c r="B2585" s="1">
        <v>44050</v>
      </c>
      <c r="C2585" t="str">
        <f t="shared" si="1167"/>
        <v>agosto</v>
      </c>
      <c r="D2585" t="s">
        <v>15</v>
      </c>
      <c r="F2585" t="s">
        <v>357</v>
      </c>
      <c r="G2585">
        <v>30</v>
      </c>
      <c r="H2585">
        <v>240</v>
      </c>
      <c r="I2585">
        <f t="shared" si="1166"/>
        <v>7200</v>
      </c>
      <c r="J2585" t="s">
        <v>167</v>
      </c>
      <c r="K2585">
        <v>207</v>
      </c>
      <c r="M2585">
        <f t="shared" si="1168"/>
        <v>6210</v>
      </c>
      <c r="N2585">
        <f t="shared" si="1169"/>
        <v>990</v>
      </c>
    </row>
    <row r="2586" spans="1:14" x14ac:dyDescent="0.25">
      <c r="A2586">
        <v>61</v>
      </c>
      <c r="B2586" s="1">
        <v>44050</v>
      </c>
      <c r="C2586" t="str">
        <f t="shared" si="1167"/>
        <v>agosto</v>
      </c>
      <c r="D2586" t="s">
        <v>15</v>
      </c>
      <c r="F2586" t="s">
        <v>356</v>
      </c>
      <c r="G2586">
        <v>11</v>
      </c>
      <c r="H2586">
        <v>240</v>
      </c>
      <c r="I2586">
        <f t="shared" si="1166"/>
        <v>2640</v>
      </c>
      <c r="J2586" t="s">
        <v>167</v>
      </c>
      <c r="K2586">
        <v>207</v>
      </c>
      <c r="M2586">
        <f t="shared" si="1168"/>
        <v>2277</v>
      </c>
      <c r="N2586">
        <f t="shared" si="1169"/>
        <v>363</v>
      </c>
    </row>
    <row r="2587" spans="1:14" x14ac:dyDescent="0.25">
      <c r="A2587">
        <v>62</v>
      </c>
      <c r="B2587" s="1">
        <v>44050</v>
      </c>
      <c r="C2587" t="str">
        <f t="shared" si="1167"/>
        <v>agosto</v>
      </c>
      <c r="D2587" t="s">
        <v>25</v>
      </c>
      <c r="F2587" t="s">
        <v>127</v>
      </c>
      <c r="G2587">
        <v>2</v>
      </c>
      <c r="H2587">
        <v>60</v>
      </c>
      <c r="I2587">
        <f t="shared" si="1166"/>
        <v>120</v>
      </c>
      <c r="J2587" t="s">
        <v>165</v>
      </c>
      <c r="K2587">
        <v>33</v>
      </c>
      <c r="M2587">
        <f t="shared" si="1168"/>
        <v>66</v>
      </c>
      <c r="N2587">
        <f t="shared" si="1169"/>
        <v>54</v>
      </c>
    </row>
    <row r="2588" spans="1:14" x14ac:dyDescent="0.25">
      <c r="A2588">
        <v>63</v>
      </c>
      <c r="B2588" s="1">
        <v>44050</v>
      </c>
      <c r="C2588" t="str">
        <f t="shared" si="1167"/>
        <v>agosto</v>
      </c>
      <c r="D2588" t="s">
        <v>25</v>
      </c>
      <c r="F2588" t="s">
        <v>137</v>
      </c>
      <c r="G2588">
        <v>1</v>
      </c>
      <c r="H2588">
        <v>60</v>
      </c>
      <c r="I2588">
        <f t="shared" si="1166"/>
        <v>60</v>
      </c>
      <c r="J2588" t="s">
        <v>165</v>
      </c>
      <c r="K2588">
        <v>33</v>
      </c>
      <c r="M2588">
        <f t="shared" si="1168"/>
        <v>33</v>
      </c>
      <c r="N2588">
        <f t="shared" si="1169"/>
        <v>27</v>
      </c>
    </row>
    <row r="2589" spans="1:14" x14ac:dyDescent="0.25">
      <c r="A2589">
        <v>64</v>
      </c>
      <c r="B2589" s="1">
        <v>44050</v>
      </c>
      <c r="C2589" t="str">
        <f t="shared" si="1167"/>
        <v>agosto</v>
      </c>
      <c r="D2589" t="s">
        <v>15</v>
      </c>
      <c r="F2589" t="s">
        <v>357</v>
      </c>
      <c r="G2589">
        <v>1</v>
      </c>
      <c r="H2589">
        <v>240</v>
      </c>
      <c r="I2589">
        <f t="shared" si="1166"/>
        <v>240</v>
      </c>
      <c r="J2589" t="s">
        <v>167</v>
      </c>
      <c r="K2589">
        <v>207</v>
      </c>
      <c r="M2589">
        <f t="shared" si="1168"/>
        <v>207</v>
      </c>
      <c r="N2589">
        <f t="shared" si="1169"/>
        <v>33</v>
      </c>
    </row>
    <row r="2590" spans="1:14" x14ac:dyDescent="0.25">
      <c r="A2590">
        <v>65</v>
      </c>
      <c r="B2590" s="1">
        <v>44050</v>
      </c>
      <c r="C2590" t="str">
        <f t="shared" ref="C2590:C2653" si="1170">+TEXT(B2590,"mmmm")</f>
        <v>agosto</v>
      </c>
      <c r="D2590" t="s">
        <v>55</v>
      </c>
      <c r="F2590" t="s">
        <v>135</v>
      </c>
      <c r="G2590">
        <v>4</v>
      </c>
      <c r="H2590">
        <v>300</v>
      </c>
      <c r="I2590">
        <f t="shared" si="1166"/>
        <v>1200</v>
      </c>
      <c r="J2590" t="s">
        <v>167</v>
      </c>
      <c r="K2590">
        <v>268</v>
      </c>
      <c r="M2590">
        <f t="shared" ref="M2590:M2653" si="1171">+IF(K2590=0,(""),(K2590*G2590))</f>
        <v>1072</v>
      </c>
      <c r="N2590">
        <f t="shared" ref="N2590:N2653" si="1172">+IF(K2590=0,(""),(I2590-M2590))</f>
        <v>128</v>
      </c>
    </row>
    <row r="2591" spans="1:14" x14ac:dyDescent="0.25">
      <c r="A2591">
        <v>66</v>
      </c>
      <c r="B2591" s="1">
        <v>44050</v>
      </c>
      <c r="C2591" t="str">
        <f t="shared" si="1170"/>
        <v>agosto</v>
      </c>
      <c r="D2591" t="s">
        <v>56</v>
      </c>
      <c r="F2591" t="s">
        <v>267</v>
      </c>
      <c r="G2591">
        <v>1</v>
      </c>
      <c r="H2591">
        <v>170</v>
      </c>
      <c r="I2591">
        <f t="shared" si="1166"/>
        <v>170</v>
      </c>
      <c r="J2591" t="s">
        <v>163</v>
      </c>
      <c r="K2591">
        <v>123</v>
      </c>
      <c r="M2591">
        <f t="shared" si="1171"/>
        <v>123</v>
      </c>
      <c r="N2591">
        <f t="shared" si="1172"/>
        <v>47</v>
      </c>
    </row>
    <row r="2592" spans="1:14" x14ac:dyDescent="0.25">
      <c r="A2592">
        <v>67</v>
      </c>
      <c r="B2592" s="1">
        <v>44050</v>
      </c>
      <c r="C2592" t="str">
        <f t="shared" si="1170"/>
        <v>agosto</v>
      </c>
      <c r="D2592" t="s">
        <v>25</v>
      </c>
      <c r="F2592" t="s">
        <v>58</v>
      </c>
      <c r="G2592">
        <v>1</v>
      </c>
      <c r="H2592">
        <v>60</v>
      </c>
      <c r="I2592">
        <f t="shared" si="1166"/>
        <v>60</v>
      </c>
      <c r="J2592" t="s">
        <v>165</v>
      </c>
      <c r="K2592">
        <v>33</v>
      </c>
      <c r="M2592">
        <f t="shared" si="1171"/>
        <v>33</v>
      </c>
      <c r="N2592">
        <f t="shared" si="1172"/>
        <v>27</v>
      </c>
    </row>
    <row r="2593" spans="1:14" x14ac:dyDescent="0.25">
      <c r="A2593">
        <v>68</v>
      </c>
      <c r="B2593" s="1">
        <v>44051</v>
      </c>
      <c r="C2593" t="str">
        <f t="shared" si="1170"/>
        <v>agosto</v>
      </c>
      <c r="D2593" t="s">
        <v>25</v>
      </c>
      <c r="F2593" t="s">
        <v>156</v>
      </c>
      <c r="G2593">
        <v>1</v>
      </c>
      <c r="H2593">
        <v>60</v>
      </c>
      <c r="I2593">
        <f t="shared" si="1166"/>
        <v>60</v>
      </c>
      <c r="J2593" t="s">
        <v>165</v>
      </c>
      <c r="K2593">
        <v>33</v>
      </c>
      <c r="M2593">
        <f t="shared" si="1171"/>
        <v>33</v>
      </c>
      <c r="N2593">
        <f t="shared" si="1172"/>
        <v>27</v>
      </c>
    </row>
    <row r="2594" spans="1:14" x14ac:dyDescent="0.25">
      <c r="A2594">
        <v>69</v>
      </c>
      <c r="B2594" s="1">
        <v>44051</v>
      </c>
      <c r="C2594" t="str">
        <f t="shared" si="1170"/>
        <v>agosto</v>
      </c>
      <c r="D2594" t="s">
        <v>55</v>
      </c>
      <c r="F2594" t="s">
        <v>22</v>
      </c>
      <c r="G2594">
        <f>4/17</f>
        <v>0.23529411764705882</v>
      </c>
      <c r="H2594">
        <v>300</v>
      </c>
      <c r="I2594">
        <f t="shared" si="1166"/>
        <v>70.588235294117652</v>
      </c>
      <c r="J2594" t="s">
        <v>167</v>
      </c>
      <c r="K2594">
        <v>268</v>
      </c>
      <c r="M2594">
        <f t="shared" si="1171"/>
        <v>63.058823529411761</v>
      </c>
      <c r="N2594">
        <f t="shared" si="1172"/>
        <v>7.5294117647058911</v>
      </c>
    </row>
    <row r="2595" spans="1:14" x14ac:dyDescent="0.25">
      <c r="A2595">
        <v>70</v>
      </c>
      <c r="B2595" s="1">
        <v>44051</v>
      </c>
      <c r="C2595" t="str">
        <f t="shared" si="1170"/>
        <v>agosto</v>
      </c>
      <c r="D2595" t="s">
        <v>92</v>
      </c>
      <c r="F2595" t="s">
        <v>241</v>
      </c>
      <c r="G2595">
        <v>1</v>
      </c>
      <c r="H2595">
        <v>150</v>
      </c>
      <c r="I2595">
        <f t="shared" ref="I2595:I2617" si="1173">+G2595*H2595</f>
        <v>150</v>
      </c>
      <c r="J2595" t="s">
        <v>166</v>
      </c>
      <c r="M2595" t="str">
        <f t="shared" si="1171"/>
        <v/>
      </c>
      <c r="N2595" t="str">
        <f t="shared" si="1172"/>
        <v/>
      </c>
    </row>
    <row r="2596" spans="1:14" x14ac:dyDescent="0.25">
      <c r="A2596">
        <v>71</v>
      </c>
      <c r="B2596" s="1">
        <v>44051</v>
      </c>
      <c r="C2596" t="str">
        <f t="shared" si="1170"/>
        <v>agosto</v>
      </c>
      <c r="D2596" t="s">
        <v>68</v>
      </c>
      <c r="F2596" t="s">
        <v>458</v>
      </c>
      <c r="G2596">
        <v>1</v>
      </c>
      <c r="H2596">
        <v>400</v>
      </c>
      <c r="I2596">
        <f t="shared" si="1173"/>
        <v>400</v>
      </c>
      <c r="J2596" t="s">
        <v>395</v>
      </c>
      <c r="M2596" t="str">
        <f t="shared" si="1171"/>
        <v/>
      </c>
      <c r="N2596" t="str">
        <f t="shared" si="1172"/>
        <v/>
      </c>
    </row>
    <row r="2597" spans="1:14" x14ac:dyDescent="0.25">
      <c r="A2597">
        <v>72</v>
      </c>
      <c r="B2597" s="1">
        <v>44051</v>
      </c>
      <c r="C2597" t="str">
        <f t="shared" si="1170"/>
        <v>agosto</v>
      </c>
      <c r="D2597" t="s">
        <v>15</v>
      </c>
      <c r="F2597" t="s">
        <v>356</v>
      </c>
      <c r="G2597">
        <v>4</v>
      </c>
      <c r="H2597">
        <v>240</v>
      </c>
      <c r="I2597">
        <f t="shared" si="1173"/>
        <v>960</v>
      </c>
      <c r="J2597" t="s">
        <v>167</v>
      </c>
      <c r="K2597">
        <v>207</v>
      </c>
      <c r="M2597">
        <f t="shared" si="1171"/>
        <v>828</v>
      </c>
      <c r="N2597">
        <f t="shared" si="1172"/>
        <v>132</v>
      </c>
    </row>
    <row r="2598" spans="1:14" x14ac:dyDescent="0.25">
      <c r="A2598">
        <v>73</v>
      </c>
      <c r="B2598" s="1">
        <v>44051</v>
      </c>
      <c r="C2598" t="str">
        <f t="shared" si="1170"/>
        <v>agosto</v>
      </c>
      <c r="D2598" t="s">
        <v>70</v>
      </c>
      <c r="F2598" t="s">
        <v>420</v>
      </c>
      <c r="G2598">
        <v>1</v>
      </c>
      <c r="H2598">
        <v>3150</v>
      </c>
      <c r="I2598">
        <f t="shared" si="1173"/>
        <v>3150</v>
      </c>
      <c r="J2598" t="s">
        <v>163</v>
      </c>
      <c r="K2598">
        <v>2800</v>
      </c>
      <c r="M2598">
        <f t="shared" si="1171"/>
        <v>2800</v>
      </c>
      <c r="N2598">
        <f t="shared" si="1172"/>
        <v>350</v>
      </c>
    </row>
    <row r="2599" spans="1:14" x14ac:dyDescent="0.25">
      <c r="A2599">
        <v>74</v>
      </c>
      <c r="B2599" s="1">
        <v>44051</v>
      </c>
      <c r="C2599" t="str">
        <f t="shared" si="1170"/>
        <v>agosto</v>
      </c>
      <c r="D2599" t="s">
        <v>78</v>
      </c>
      <c r="F2599" t="s">
        <v>428</v>
      </c>
      <c r="G2599">
        <v>1</v>
      </c>
      <c r="H2599">
        <v>1900</v>
      </c>
      <c r="I2599">
        <f t="shared" si="1173"/>
        <v>1900</v>
      </c>
      <c r="J2599" t="s">
        <v>167</v>
      </c>
      <c r="K2599">
        <v>1580</v>
      </c>
      <c r="M2599">
        <f t="shared" si="1171"/>
        <v>1580</v>
      </c>
      <c r="N2599">
        <f t="shared" si="1172"/>
        <v>320</v>
      </c>
    </row>
    <row r="2600" spans="1:14" x14ac:dyDescent="0.25">
      <c r="A2600">
        <v>75</v>
      </c>
      <c r="B2600" s="1">
        <v>44051</v>
      </c>
      <c r="C2600" t="str">
        <f t="shared" si="1170"/>
        <v>agosto</v>
      </c>
      <c r="D2600" t="s">
        <v>85</v>
      </c>
      <c r="F2600" t="s">
        <v>459</v>
      </c>
      <c r="G2600">
        <v>1</v>
      </c>
      <c r="H2600">
        <v>950</v>
      </c>
      <c r="I2600">
        <f t="shared" si="1173"/>
        <v>950</v>
      </c>
      <c r="J2600" t="s">
        <v>163</v>
      </c>
      <c r="K2600">
        <v>700</v>
      </c>
      <c r="M2600">
        <f t="shared" si="1171"/>
        <v>700</v>
      </c>
      <c r="N2600">
        <f t="shared" si="1172"/>
        <v>250</v>
      </c>
    </row>
    <row r="2601" spans="1:14" x14ac:dyDescent="0.25">
      <c r="A2601">
        <v>76</v>
      </c>
      <c r="B2601" s="1">
        <v>44051</v>
      </c>
      <c r="C2601" t="str">
        <f t="shared" si="1170"/>
        <v>agosto</v>
      </c>
      <c r="D2601" t="s">
        <v>85</v>
      </c>
      <c r="F2601" t="s">
        <v>266</v>
      </c>
      <c r="G2601">
        <v>1</v>
      </c>
      <c r="H2601">
        <v>250</v>
      </c>
      <c r="I2601">
        <f t="shared" si="1173"/>
        <v>250</v>
      </c>
      <c r="J2601" t="s">
        <v>166</v>
      </c>
      <c r="M2601" t="str">
        <f t="shared" si="1171"/>
        <v/>
      </c>
      <c r="N2601" t="str">
        <f t="shared" si="1172"/>
        <v/>
      </c>
    </row>
    <row r="2602" spans="1:14" x14ac:dyDescent="0.25">
      <c r="A2602">
        <v>77</v>
      </c>
      <c r="B2602" s="1">
        <v>44051</v>
      </c>
      <c r="C2602" t="str">
        <f t="shared" si="1170"/>
        <v>agosto</v>
      </c>
      <c r="D2602" t="s">
        <v>23</v>
      </c>
      <c r="F2602" t="s">
        <v>456</v>
      </c>
      <c r="G2602">
        <v>3</v>
      </c>
      <c r="H2602">
        <v>250</v>
      </c>
      <c r="I2602">
        <f t="shared" si="1173"/>
        <v>750</v>
      </c>
      <c r="J2602" t="s">
        <v>163</v>
      </c>
      <c r="K2602">
        <v>0</v>
      </c>
      <c r="M2602" t="str">
        <f t="shared" si="1171"/>
        <v/>
      </c>
      <c r="N2602" t="str">
        <f t="shared" si="1172"/>
        <v/>
      </c>
    </row>
    <row r="2603" spans="1:14" x14ac:dyDescent="0.25">
      <c r="A2603">
        <v>78</v>
      </c>
      <c r="B2603" s="1">
        <v>44051</v>
      </c>
      <c r="C2603" t="str">
        <f t="shared" si="1170"/>
        <v>agosto</v>
      </c>
      <c r="D2603" t="s">
        <v>15</v>
      </c>
      <c r="F2603" t="s">
        <v>20</v>
      </c>
      <c r="G2603">
        <v>35</v>
      </c>
      <c r="H2603">
        <v>250</v>
      </c>
      <c r="I2603">
        <f t="shared" si="1173"/>
        <v>8750</v>
      </c>
      <c r="J2603" t="s">
        <v>163</v>
      </c>
      <c r="K2603">
        <v>232</v>
      </c>
      <c r="M2603">
        <f t="shared" si="1171"/>
        <v>8120</v>
      </c>
      <c r="N2603">
        <f t="shared" si="1172"/>
        <v>630</v>
      </c>
    </row>
    <row r="2604" spans="1:14" x14ac:dyDescent="0.25">
      <c r="A2604">
        <v>79</v>
      </c>
      <c r="B2604" s="1">
        <v>44051</v>
      </c>
      <c r="C2604" t="str">
        <f t="shared" si="1170"/>
        <v>agosto</v>
      </c>
      <c r="D2604" t="s">
        <v>78</v>
      </c>
      <c r="F2604" t="s">
        <v>341</v>
      </c>
      <c r="G2604">
        <v>1</v>
      </c>
      <c r="H2604">
        <v>100</v>
      </c>
      <c r="I2604">
        <f t="shared" si="1173"/>
        <v>100</v>
      </c>
      <c r="J2604" t="s">
        <v>198</v>
      </c>
      <c r="M2604" t="str">
        <f t="shared" si="1171"/>
        <v/>
      </c>
      <c r="N2604" t="str">
        <f t="shared" si="1172"/>
        <v/>
      </c>
    </row>
    <row r="2605" spans="1:14" x14ac:dyDescent="0.25">
      <c r="A2605">
        <v>80</v>
      </c>
      <c r="B2605" s="1">
        <v>44051</v>
      </c>
      <c r="C2605" t="str">
        <f t="shared" si="1170"/>
        <v>agosto</v>
      </c>
      <c r="D2605" t="s">
        <v>15</v>
      </c>
      <c r="F2605" t="s">
        <v>20</v>
      </c>
      <c r="G2605">
        <v>3</v>
      </c>
      <c r="H2605">
        <v>250</v>
      </c>
      <c r="I2605">
        <f t="shared" si="1173"/>
        <v>750</v>
      </c>
      <c r="J2605" t="s">
        <v>163</v>
      </c>
      <c r="K2605">
        <v>232</v>
      </c>
      <c r="M2605">
        <f t="shared" si="1171"/>
        <v>696</v>
      </c>
      <c r="N2605">
        <f t="shared" si="1172"/>
        <v>54</v>
      </c>
    </row>
    <row r="2606" spans="1:14" x14ac:dyDescent="0.25">
      <c r="A2606">
        <v>81</v>
      </c>
      <c r="B2606" s="1">
        <v>44051</v>
      </c>
      <c r="C2606" t="str">
        <f t="shared" si="1170"/>
        <v>agosto</v>
      </c>
      <c r="D2606" t="s">
        <v>55</v>
      </c>
      <c r="F2606" t="s">
        <v>108</v>
      </c>
      <c r="G2606">
        <v>2</v>
      </c>
      <c r="H2606">
        <v>300</v>
      </c>
      <c r="I2606">
        <f t="shared" si="1173"/>
        <v>600</v>
      </c>
      <c r="J2606" t="s">
        <v>167</v>
      </c>
      <c r="K2606">
        <v>268</v>
      </c>
      <c r="M2606">
        <f t="shared" si="1171"/>
        <v>536</v>
      </c>
      <c r="N2606">
        <f t="shared" si="1172"/>
        <v>64</v>
      </c>
    </row>
    <row r="2607" spans="1:14" x14ac:dyDescent="0.25">
      <c r="A2607">
        <v>82</v>
      </c>
      <c r="B2607" s="1">
        <v>44053</v>
      </c>
      <c r="C2607" t="str">
        <f t="shared" si="1170"/>
        <v>agosto</v>
      </c>
      <c r="D2607" t="s">
        <v>55</v>
      </c>
      <c r="F2607" t="s">
        <v>247</v>
      </c>
      <c r="G2607">
        <v>2</v>
      </c>
      <c r="H2607">
        <v>300</v>
      </c>
      <c r="I2607">
        <f t="shared" si="1173"/>
        <v>600</v>
      </c>
      <c r="J2607" t="s">
        <v>167</v>
      </c>
      <c r="K2607">
        <v>268</v>
      </c>
      <c r="M2607">
        <f t="shared" si="1171"/>
        <v>536</v>
      </c>
      <c r="N2607">
        <f t="shared" si="1172"/>
        <v>64</v>
      </c>
    </row>
    <row r="2608" spans="1:14" x14ac:dyDescent="0.25">
      <c r="A2608">
        <v>83</v>
      </c>
      <c r="B2608" s="1">
        <v>44053</v>
      </c>
      <c r="C2608" t="str">
        <f t="shared" si="1170"/>
        <v>agosto</v>
      </c>
      <c r="D2608" t="s">
        <v>44</v>
      </c>
      <c r="F2608" t="s">
        <v>138</v>
      </c>
      <c r="G2608">
        <v>1</v>
      </c>
      <c r="H2608">
        <v>35</v>
      </c>
      <c r="I2608">
        <f t="shared" si="1173"/>
        <v>35</v>
      </c>
      <c r="J2608" t="s">
        <v>166</v>
      </c>
      <c r="K2608">
        <v>29</v>
      </c>
      <c r="M2608">
        <f t="shared" si="1171"/>
        <v>29</v>
      </c>
      <c r="N2608">
        <f t="shared" si="1172"/>
        <v>6</v>
      </c>
    </row>
    <row r="2609" spans="1:14" x14ac:dyDescent="0.25">
      <c r="A2609">
        <v>84</v>
      </c>
      <c r="B2609" s="1">
        <v>44053</v>
      </c>
      <c r="C2609" t="str">
        <f t="shared" si="1170"/>
        <v>agosto</v>
      </c>
      <c r="D2609" t="s">
        <v>55</v>
      </c>
      <c r="F2609" t="s">
        <v>108</v>
      </c>
      <c r="G2609">
        <v>1</v>
      </c>
      <c r="H2609">
        <v>300</v>
      </c>
      <c r="I2609">
        <f t="shared" si="1173"/>
        <v>300</v>
      </c>
      <c r="J2609" t="s">
        <v>167</v>
      </c>
      <c r="K2609">
        <v>268</v>
      </c>
      <c r="M2609">
        <f t="shared" si="1171"/>
        <v>268</v>
      </c>
      <c r="N2609">
        <f t="shared" si="1172"/>
        <v>32</v>
      </c>
    </row>
    <row r="2610" spans="1:14" x14ac:dyDescent="0.25">
      <c r="A2610">
        <v>85</v>
      </c>
      <c r="B2610" s="1">
        <v>44053</v>
      </c>
      <c r="C2610" t="str">
        <f t="shared" si="1170"/>
        <v>agosto</v>
      </c>
      <c r="D2610" t="s">
        <v>15</v>
      </c>
      <c r="F2610" t="s">
        <v>20</v>
      </c>
      <c r="G2610">
        <v>1</v>
      </c>
      <c r="H2610">
        <v>250</v>
      </c>
      <c r="I2610">
        <f t="shared" si="1173"/>
        <v>250</v>
      </c>
      <c r="J2610" t="s">
        <v>163</v>
      </c>
      <c r="K2610">
        <v>232</v>
      </c>
      <c r="M2610">
        <f t="shared" si="1171"/>
        <v>232</v>
      </c>
      <c r="N2610">
        <f t="shared" si="1172"/>
        <v>18</v>
      </c>
    </row>
    <row r="2611" spans="1:14" x14ac:dyDescent="0.25">
      <c r="A2611">
        <v>86</v>
      </c>
      <c r="B2611" s="1">
        <v>44053</v>
      </c>
      <c r="C2611" t="str">
        <f t="shared" si="1170"/>
        <v>agosto</v>
      </c>
      <c r="D2611" t="s">
        <v>26</v>
      </c>
      <c r="F2611" t="s">
        <v>144</v>
      </c>
      <c r="G2611">
        <v>25</v>
      </c>
      <c r="H2611">
        <v>425</v>
      </c>
      <c r="I2611">
        <f t="shared" si="1173"/>
        <v>10625</v>
      </c>
      <c r="J2611" t="s">
        <v>99</v>
      </c>
      <c r="K2611">
        <v>352</v>
      </c>
      <c r="M2611">
        <f t="shared" si="1171"/>
        <v>8800</v>
      </c>
      <c r="N2611">
        <f t="shared" si="1172"/>
        <v>1825</v>
      </c>
    </row>
    <row r="2612" spans="1:14" x14ac:dyDescent="0.25">
      <c r="A2612">
        <v>87</v>
      </c>
      <c r="B2612" s="1">
        <v>44053</v>
      </c>
      <c r="C2612" t="str">
        <f t="shared" si="1170"/>
        <v>agosto</v>
      </c>
      <c r="D2612" t="s">
        <v>26</v>
      </c>
      <c r="F2612" t="s">
        <v>47</v>
      </c>
      <c r="G2612">
        <v>32</v>
      </c>
      <c r="H2612">
        <v>350</v>
      </c>
      <c r="I2612">
        <f t="shared" si="1173"/>
        <v>11200</v>
      </c>
      <c r="J2612" t="s">
        <v>99</v>
      </c>
      <c r="K2612">
        <v>260</v>
      </c>
      <c r="M2612">
        <f t="shared" si="1171"/>
        <v>8320</v>
      </c>
      <c r="N2612">
        <f t="shared" si="1172"/>
        <v>2880</v>
      </c>
    </row>
    <row r="2613" spans="1:14" x14ac:dyDescent="0.25">
      <c r="A2613">
        <v>88</v>
      </c>
      <c r="B2613" s="1">
        <v>44053</v>
      </c>
      <c r="C2613" t="str">
        <f t="shared" si="1170"/>
        <v>agosto</v>
      </c>
      <c r="D2613" t="s">
        <v>26</v>
      </c>
      <c r="F2613" t="s">
        <v>460</v>
      </c>
      <c r="G2613">
        <f>26/5</f>
        <v>5.2</v>
      </c>
      <c r="H2613">
        <v>270</v>
      </c>
      <c r="I2613">
        <f t="shared" si="1173"/>
        <v>1404</v>
      </c>
      <c r="J2613" t="s">
        <v>394</v>
      </c>
      <c r="M2613" t="str">
        <f t="shared" si="1171"/>
        <v/>
      </c>
      <c r="N2613" t="str">
        <f t="shared" si="1172"/>
        <v/>
      </c>
    </row>
    <row r="2614" spans="1:14" x14ac:dyDescent="0.25">
      <c r="A2614">
        <v>89</v>
      </c>
      <c r="B2614" s="1">
        <v>44053</v>
      </c>
      <c r="C2614" t="str">
        <f t="shared" si="1170"/>
        <v>agosto</v>
      </c>
      <c r="D2614" t="s">
        <v>55</v>
      </c>
      <c r="F2614" t="s">
        <v>381</v>
      </c>
      <c r="G2614">
        <v>1.41</v>
      </c>
      <c r="H2614">
        <v>300</v>
      </c>
      <c r="I2614">
        <f t="shared" si="1173"/>
        <v>423</v>
      </c>
      <c r="J2614" t="s">
        <v>167</v>
      </c>
      <c r="K2614">
        <v>268</v>
      </c>
      <c r="M2614">
        <f t="shared" si="1171"/>
        <v>377.88</v>
      </c>
      <c r="N2614">
        <f t="shared" si="1172"/>
        <v>45.120000000000005</v>
      </c>
    </row>
    <row r="2615" spans="1:14" x14ac:dyDescent="0.25">
      <c r="A2615">
        <v>90</v>
      </c>
      <c r="B2615" s="1">
        <v>44053</v>
      </c>
      <c r="C2615" t="str">
        <f t="shared" si="1170"/>
        <v>agosto</v>
      </c>
      <c r="D2615" t="s">
        <v>75</v>
      </c>
      <c r="F2615" t="s">
        <v>443</v>
      </c>
      <c r="G2615">
        <v>6</v>
      </c>
      <c r="H2615">
        <v>65</v>
      </c>
      <c r="I2615">
        <f t="shared" si="1173"/>
        <v>390</v>
      </c>
      <c r="J2615" t="s">
        <v>163</v>
      </c>
      <c r="K2615">
        <v>31</v>
      </c>
      <c r="M2615">
        <f t="shared" si="1171"/>
        <v>186</v>
      </c>
      <c r="N2615">
        <f t="shared" si="1172"/>
        <v>204</v>
      </c>
    </row>
    <row r="2616" spans="1:14" x14ac:dyDescent="0.25">
      <c r="A2616">
        <v>91</v>
      </c>
      <c r="B2616" s="1">
        <v>44053</v>
      </c>
      <c r="C2616" t="str">
        <f t="shared" si="1170"/>
        <v>agosto</v>
      </c>
      <c r="D2616" t="s">
        <v>15</v>
      </c>
      <c r="F2616" t="s">
        <v>45</v>
      </c>
      <c r="G2616">
        <v>2</v>
      </c>
      <c r="H2616">
        <v>300</v>
      </c>
      <c r="I2616">
        <f t="shared" si="1173"/>
        <v>600</v>
      </c>
      <c r="J2616" t="s">
        <v>167</v>
      </c>
      <c r="K2616">
        <v>268</v>
      </c>
      <c r="M2616">
        <f t="shared" si="1171"/>
        <v>536</v>
      </c>
      <c r="N2616">
        <f t="shared" si="1172"/>
        <v>64</v>
      </c>
    </row>
    <row r="2617" spans="1:14" x14ac:dyDescent="0.25">
      <c r="A2617">
        <v>92</v>
      </c>
      <c r="B2617" s="1">
        <v>44053</v>
      </c>
      <c r="C2617" t="str">
        <f t="shared" si="1170"/>
        <v>agosto</v>
      </c>
      <c r="D2617" t="s">
        <v>25</v>
      </c>
      <c r="F2617" t="s">
        <v>127</v>
      </c>
      <c r="G2617">
        <v>1</v>
      </c>
      <c r="H2617">
        <v>60</v>
      </c>
      <c r="I2617">
        <f t="shared" si="1173"/>
        <v>60</v>
      </c>
      <c r="J2617" t="s">
        <v>165</v>
      </c>
      <c r="K2617">
        <v>33</v>
      </c>
      <c r="M2617">
        <f t="shared" si="1171"/>
        <v>33</v>
      </c>
      <c r="N2617">
        <f t="shared" si="1172"/>
        <v>27</v>
      </c>
    </row>
    <row r="2618" spans="1:14" x14ac:dyDescent="0.25">
      <c r="A2618">
        <v>93</v>
      </c>
      <c r="B2618" s="1">
        <v>44053</v>
      </c>
      <c r="C2618" t="str">
        <f t="shared" si="1170"/>
        <v>agosto</v>
      </c>
      <c r="D2618" t="s">
        <v>55</v>
      </c>
      <c r="F2618" t="s">
        <v>22</v>
      </c>
      <c r="G2618">
        <f>2/17</f>
        <v>0.11764705882352941</v>
      </c>
      <c r="H2618">
        <v>300</v>
      </c>
      <c r="I2618">
        <f>+G2618*H2618</f>
        <v>35.294117647058826</v>
      </c>
      <c r="J2618" t="s">
        <v>167</v>
      </c>
      <c r="K2618">
        <v>268</v>
      </c>
      <c r="M2618">
        <f t="shared" si="1171"/>
        <v>31.52941176470588</v>
      </c>
      <c r="N2618">
        <f t="shared" si="1172"/>
        <v>3.7647058823529456</v>
      </c>
    </row>
    <row r="2619" spans="1:14" x14ac:dyDescent="0.25">
      <c r="A2619">
        <v>94</v>
      </c>
      <c r="B2619" s="1">
        <v>44053</v>
      </c>
      <c r="C2619" t="str">
        <f t="shared" si="1170"/>
        <v>agosto</v>
      </c>
      <c r="D2619" t="s">
        <v>25</v>
      </c>
      <c r="F2619" t="s">
        <v>60</v>
      </c>
      <c r="G2619">
        <v>2</v>
      </c>
      <c r="H2619">
        <v>60</v>
      </c>
      <c r="I2619">
        <f t="shared" ref="I2619:I2682" si="1174">+G2619*H2619</f>
        <v>120</v>
      </c>
      <c r="J2619" t="s">
        <v>165</v>
      </c>
      <c r="K2619">
        <v>33</v>
      </c>
      <c r="M2619">
        <f t="shared" si="1171"/>
        <v>66</v>
      </c>
      <c r="N2619">
        <f t="shared" si="1172"/>
        <v>54</v>
      </c>
    </row>
    <row r="2620" spans="1:14" x14ac:dyDescent="0.25">
      <c r="A2620">
        <v>95</v>
      </c>
      <c r="B2620" s="1">
        <v>44053</v>
      </c>
      <c r="C2620" t="str">
        <f t="shared" si="1170"/>
        <v>agosto</v>
      </c>
      <c r="D2620" t="s">
        <v>25</v>
      </c>
      <c r="F2620" t="s">
        <v>130</v>
      </c>
      <c r="G2620">
        <v>1</v>
      </c>
      <c r="H2620">
        <v>60</v>
      </c>
      <c r="I2620">
        <f t="shared" si="1174"/>
        <v>60</v>
      </c>
      <c r="J2620" t="s">
        <v>165</v>
      </c>
      <c r="K2620">
        <v>33</v>
      </c>
      <c r="M2620">
        <f t="shared" si="1171"/>
        <v>33</v>
      </c>
      <c r="N2620">
        <f t="shared" si="1172"/>
        <v>27</v>
      </c>
    </row>
    <row r="2621" spans="1:14" x14ac:dyDescent="0.25">
      <c r="A2621">
        <v>96</v>
      </c>
      <c r="B2621" s="1">
        <v>44053</v>
      </c>
      <c r="C2621" t="str">
        <f t="shared" si="1170"/>
        <v>agosto</v>
      </c>
      <c r="D2621" t="s">
        <v>55</v>
      </c>
      <c r="F2621" t="s">
        <v>22</v>
      </c>
      <c r="G2621">
        <v>5.56</v>
      </c>
      <c r="H2621">
        <v>300</v>
      </c>
      <c r="I2621">
        <f t="shared" si="1174"/>
        <v>1667.9999999999998</v>
      </c>
      <c r="J2621" t="s">
        <v>167</v>
      </c>
      <c r="K2621">
        <v>268</v>
      </c>
      <c r="M2621">
        <f t="shared" si="1171"/>
        <v>1490.08</v>
      </c>
      <c r="N2621">
        <f t="shared" si="1172"/>
        <v>177.91999999999985</v>
      </c>
    </row>
    <row r="2622" spans="1:14" x14ac:dyDescent="0.25">
      <c r="A2622">
        <v>97</v>
      </c>
      <c r="B2622" s="1">
        <v>44053</v>
      </c>
      <c r="C2622" t="str">
        <f t="shared" si="1170"/>
        <v>agosto</v>
      </c>
      <c r="D2622" t="s">
        <v>15</v>
      </c>
      <c r="F2622" t="s">
        <v>401</v>
      </c>
      <c r="G2622">
        <f>6/9</f>
        <v>0.66666666666666663</v>
      </c>
      <c r="H2622">
        <v>300</v>
      </c>
      <c r="I2622">
        <f t="shared" si="1174"/>
        <v>200</v>
      </c>
      <c r="J2622" t="s">
        <v>167</v>
      </c>
      <c r="K2622">
        <v>268</v>
      </c>
      <c r="M2622">
        <f t="shared" si="1171"/>
        <v>178.66666666666666</v>
      </c>
      <c r="N2622">
        <f t="shared" si="1172"/>
        <v>21.333333333333343</v>
      </c>
    </row>
    <row r="2623" spans="1:14" x14ac:dyDescent="0.25">
      <c r="A2623">
        <v>98</v>
      </c>
      <c r="B2623" s="1">
        <v>44053</v>
      </c>
      <c r="C2623" t="str">
        <f t="shared" si="1170"/>
        <v>agosto</v>
      </c>
      <c r="D2623" t="s">
        <v>25</v>
      </c>
      <c r="F2623" t="s">
        <v>127</v>
      </c>
      <c r="G2623">
        <v>1</v>
      </c>
      <c r="H2623">
        <v>60</v>
      </c>
      <c r="I2623">
        <f t="shared" si="1174"/>
        <v>60</v>
      </c>
      <c r="J2623" t="s">
        <v>165</v>
      </c>
      <c r="K2623">
        <v>33</v>
      </c>
      <c r="M2623">
        <f t="shared" si="1171"/>
        <v>33</v>
      </c>
      <c r="N2623">
        <f t="shared" si="1172"/>
        <v>27</v>
      </c>
    </row>
    <row r="2624" spans="1:14" x14ac:dyDescent="0.25">
      <c r="A2624">
        <v>99</v>
      </c>
      <c r="B2624" s="1">
        <v>44053</v>
      </c>
      <c r="C2624" t="str">
        <f t="shared" si="1170"/>
        <v>agosto</v>
      </c>
      <c r="D2624" t="s">
        <v>25</v>
      </c>
      <c r="F2624" t="s">
        <v>225</v>
      </c>
      <c r="G2624">
        <v>5</v>
      </c>
      <c r="H2624">
        <v>60</v>
      </c>
      <c r="I2624">
        <f t="shared" si="1174"/>
        <v>300</v>
      </c>
      <c r="J2624" t="s">
        <v>165</v>
      </c>
      <c r="K2624">
        <v>33</v>
      </c>
      <c r="M2624">
        <f t="shared" si="1171"/>
        <v>165</v>
      </c>
      <c r="N2624">
        <f t="shared" si="1172"/>
        <v>135</v>
      </c>
    </row>
    <row r="2625" spans="1:14" x14ac:dyDescent="0.25">
      <c r="A2625">
        <v>100</v>
      </c>
      <c r="B2625" s="1">
        <v>44053</v>
      </c>
      <c r="C2625" t="str">
        <f t="shared" si="1170"/>
        <v>agosto</v>
      </c>
      <c r="D2625" t="s">
        <v>70</v>
      </c>
      <c r="F2625" t="s">
        <v>227</v>
      </c>
      <c r="G2625">
        <v>1</v>
      </c>
      <c r="H2625">
        <v>1650</v>
      </c>
      <c r="I2625">
        <f t="shared" si="1174"/>
        <v>1650</v>
      </c>
      <c r="J2625" t="s">
        <v>167</v>
      </c>
      <c r="K2625">
        <v>1440</v>
      </c>
      <c r="M2625">
        <f t="shared" si="1171"/>
        <v>1440</v>
      </c>
      <c r="N2625">
        <f t="shared" si="1172"/>
        <v>210</v>
      </c>
    </row>
    <row r="2626" spans="1:14" x14ac:dyDescent="0.25">
      <c r="A2626">
        <v>101</v>
      </c>
      <c r="B2626" s="1">
        <v>44054</v>
      </c>
      <c r="C2626" t="str">
        <f t="shared" si="1170"/>
        <v>agosto</v>
      </c>
      <c r="D2626" t="s">
        <v>24</v>
      </c>
      <c r="F2626" t="s">
        <v>24</v>
      </c>
      <c r="G2626">
        <v>1</v>
      </c>
      <c r="H2626">
        <v>100</v>
      </c>
      <c r="I2626">
        <f t="shared" si="1174"/>
        <v>100</v>
      </c>
      <c r="J2626" t="s">
        <v>186</v>
      </c>
      <c r="K2626">
        <v>80</v>
      </c>
      <c r="M2626">
        <f t="shared" si="1171"/>
        <v>80</v>
      </c>
      <c r="N2626">
        <f t="shared" si="1172"/>
        <v>20</v>
      </c>
    </row>
    <row r="2627" spans="1:14" x14ac:dyDescent="0.25">
      <c r="A2627">
        <v>102</v>
      </c>
      <c r="B2627" s="1">
        <v>44054</v>
      </c>
      <c r="C2627" t="str">
        <f t="shared" si="1170"/>
        <v>agosto</v>
      </c>
      <c r="D2627" t="s">
        <v>23</v>
      </c>
      <c r="F2627" t="s">
        <v>215</v>
      </c>
      <c r="G2627">
        <v>1</v>
      </c>
      <c r="H2627">
        <v>35</v>
      </c>
      <c r="I2627">
        <f t="shared" si="1174"/>
        <v>35</v>
      </c>
      <c r="J2627" t="s">
        <v>187</v>
      </c>
      <c r="K2627">
        <v>26</v>
      </c>
      <c r="M2627">
        <f t="shared" si="1171"/>
        <v>26</v>
      </c>
      <c r="N2627">
        <f t="shared" si="1172"/>
        <v>9</v>
      </c>
    </row>
    <row r="2628" spans="1:14" x14ac:dyDescent="0.25">
      <c r="A2628">
        <v>103</v>
      </c>
      <c r="B2628" s="1">
        <v>44054</v>
      </c>
      <c r="C2628" t="str">
        <f t="shared" si="1170"/>
        <v>agosto</v>
      </c>
      <c r="D2628" t="s">
        <v>44</v>
      </c>
      <c r="F2628" t="s">
        <v>138</v>
      </c>
      <c r="G2628">
        <v>1</v>
      </c>
      <c r="H2628">
        <v>35</v>
      </c>
      <c r="I2628">
        <f t="shared" si="1174"/>
        <v>35</v>
      </c>
      <c r="J2628" t="s">
        <v>166</v>
      </c>
      <c r="K2628">
        <v>29</v>
      </c>
      <c r="M2628">
        <f t="shared" si="1171"/>
        <v>29</v>
      </c>
      <c r="N2628">
        <f t="shared" si="1172"/>
        <v>6</v>
      </c>
    </row>
    <row r="2629" spans="1:14" x14ac:dyDescent="0.25">
      <c r="A2629">
        <v>104</v>
      </c>
      <c r="B2629" s="1">
        <v>44054</v>
      </c>
      <c r="C2629" t="str">
        <f t="shared" si="1170"/>
        <v>agosto</v>
      </c>
      <c r="D2629" t="s">
        <v>15</v>
      </c>
      <c r="F2629" t="s">
        <v>346</v>
      </c>
      <c r="G2629">
        <v>1.7</v>
      </c>
      <c r="H2629">
        <v>250</v>
      </c>
      <c r="I2629">
        <f t="shared" si="1174"/>
        <v>425</v>
      </c>
      <c r="J2629" t="s">
        <v>167</v>
      </c>
      <c r="K2629">
        <v>219</v>
      </c>
      <c r="M2629">
        <f t="shared" si="1171"/>
        <v>372.3</v>
      </c>
      <c r="N2629">
        <f t="shared" si="1172"/>
        <v>52.699999999999989</v>
      </c>
    </row>
    <row r="2630" spans="1:14" x14ac:dyDescent="0.25">
      <c r="A2630">
        <v>105</v>
      </c>
      <c r="B2630" s="1">
        <v>44054</v>
      </c>
      <c r="C2630" t="str">
        <f t="shared" si="1170"/>
        <v>agosto</v>
      </c>
      <c r="D2630" t="s">
        <v>56</v>
      </c>
      <c r="F2630" t="s">
        <v>267</v>
      </c>
      <c r="G2630">
        <v>1</v>
      </c>
      <c r="H2630">
        <v>170</v>
      </c>
      <c r="I2630">
        <f t="shared" si="1174"/>
        <v>170</v>
      </c>
      <c r="J2630" t="s">
        <v>163</v>
      </c>
      <c r="K2630">
        <v>123</v>
      </c>
      <c r="M2630">
        <f t="shared" si="1171"/>
        <v>123</v>
      </c>
      <c r="N2630">
        <f t="shared" si="1172"/>
        <v>47</v>
      </c>
    </row>
    <row r="2631" spans="1:14" x14ac:dyDescent="0.25">
      <c r="A2631">
        <v>106</v>
      </c>
      <c r="B2631" s="1">
        <v>44054</v>
      </c>
      <c r="C2631" t="str">
        <f t="shared" si="1170"/>
        <v>agosto</v>
      </c>
      <c r="D2631" t="s">
        <v>44</v>
      </c>
      <c r="F2631" t="s">
        <v>138</v>
      </c>
      <c r="G2631">
        <v>1</v>
      </c>
      <c r="H2631">
        <v>35</v>
      </c>
      <c r="I2631">
        <f t="shared" si="1174"/>
        <v>35</v>
      </c>
      <c r="J2631" t="s">
        <v>166</v>
      </c>
      <c r="K2631">
        <v>29</v>
      </c>
      <c r="M2631">
        <f t="shared" si="1171"/>
        <v>29</v>
      </c>
      <c r="N2631">
        <f t="shared" si="1172"/>
        <v>6</v>
      </c>
    </row>
    <row r="2632" spans="1:14" x14ac:dyDescent="0.25">
      <c r="A2632">
        <v>107</v>
      </c>
      <c r="B2632" s="1">
        <v>44054</v>
      </c>
      <c r="C2632" t="str">
        <f t="shared" si="1170"/>
        <v>agosto</v>
      </c>
      <c r="D2632" t="s">
        <v>70</v>
      </c>
      <c r="F2632" t="s">
        <v>269</v>
      </c>
      <c r="G2632">
        <v>1</v>
      </c>
      <c r="H2632">
        <v>1900</v>
      </c>
      <c r="I2632">
        <f t="shared" si="1174"/>
        <v>1900</v>
      </c>
      <c r="J2632" t="s">
        <v>167</v>
      </c>
      <c r="K2632">
        <v>1707</v>
      </c>
      <c r="M2632">
        <f t="shared" si="1171"/>
        <v>1707</v>
      </c>
      <c r="N2632">
        <f t="shared" si="1172"/>
        <v>193</v>
      </c>
    </row>
    <row r="2633" spans="1:14" x14ac:dyDescent="0.25">
      <c r="A2633">
        <v>108</v>
      </c>
      <c r="B2633" s="1">
        <v>44054</v>
      </c>
      <c r="C2633" t="str">
        <f t="shared" si="1170"/>
        <v>agosto</v>
      </c>
      <c r="D2633" t="s">
        <v>85</v>
      </c>
      <c r="F2633" t="s">
        <v>216</v>
      </c>
      <c r="G2633">
        <v>1</v>
      </c>
      <c r="H2633">
        <v>900</v>
      </c>
      <c r="I2633">
        <f t="shared" si="1174"/>
        <v>900</v>
      </c>
      <c r="J2633" t="s">
        <v>167</v>
      </c>
      <c r="K2633">
        <v>480</v>
      </c>
      <c r="M2633">
        <f t="shared" si="1171"/>
        <v>480</v>
      </c>
      <c r="N2633">
        <f t="shared" si="1172"/>
        <v>420</v>
      </c>
    </row>
    <row r="2634" spans="1:14" x14ac:dyDescent="0.25">
      <c r="A2634">
        <v>109</v>
      </c>
      <c r="B2634" s="1">
        <v>44054</v>
      </c>
      <c r="C2634" t="str">
        <f t="shared" si="1170"/>
        <v>agosto</v>
      </c>
      <c r="D2634" t="s">
        <v>85</v>
      </c>
      <c r="F2634" t="s">
        <v>266</v>
      </c>
      <c r="G2634">
        <v>1</v>
      </c>
      <c r="H2634">
        <v>250</v>
      </c>
      <c r="I2634">
        <f t="shared" si="1174"/>
        <v>250</v>
      </c>
      <c r="J2634" t="s">
        <v>166</v>
      </c>
      <c r="M2634" t="str">
        <f t="shared" si="1171"/>
        <v/>
      </c>
      <c r="N2634" t="str">
        <f t="shared" si="1172"/>
        <v/>
      </c>
    </row>
    <row r="2635" spans="1:14" x14ac:dyDescent="0.25">
      <c r="A2635">
        <v>110</v>
      </c>
      <c r="B2635" s="1">
        <v>44054</v>
      </c>
      <c r="C2635" t="str">
        <f t="shared" si="1170"/>
        <v>agosto</v>
      </c>
      <c r="D2635" t="s">
        <v>85</v>
      </c>
      <c r="F2635" t="s">
        <v>413</v>
      </c>
      <c r="G2635">
        <v>1</v>
      </c>
      <c r="H2635">
        <v>600</v>
      </c>
      <c r="I2635">
        <f t="shared" si="1174"/>
        <v>600</v>
      </c>
      <c r="J2635" t="s">
        <v>167</v>
      </c>
      <c r="K2635">
        <v>480</v>
      </c>
      <c r="M2635">
        <f t="shared" si="1171"/>
        <v>480</v>
      </c>
      <c r="N2635">
        <f t="shared" si="1172"/>
        <v>120</v>
      </c>
    </row>
    <row r="2636" spans="1:14" x14ac:dyDescent="0.25">
      <c r="A2636">
        <v>111</v>
      </c>
      <c r="B2636" s="1">
        <v>44054</v>
      </c>
      <c r="C2636" t="str">
        <f t="shared" si="1170"/>
        <v>agosto</v>
      </c>
      <c r="D2636" t="s">
        <v>15</v>
      </c>
      <c r="F2636" t="s">
        <v>29</v>
      </c>
      <c r="G2636">
        <v>2</v>
      </c>
      <c r="H2636">
        <v>240</v>
      </c>
      <c r="I2636">
        <f t="shared" si="1174"/>
        <v>480</v>
      </c>
      <c r="J2636" t="s">
        <v>163</v>
      </c>
      <c r="K2636">
        <v>211</v>
      </c>
      <c r="M2636">
        <f t="shared" si="1171"/>
        <v>422</v>
      </c>
      <c r="N2636">
        <f t="shared" si="1172"/>
        <v>58</v>
      </c>
    </row>
    <row r="2637" spans="1:14" x14ac:dyDescent="0.25">
      <c r="A2637">
        <v>112</v>
      </c>
      <c r="B2637" s="1">
        <v>44054</v>
      </c>
      <c r="C2637" t="str">
        <f t="shared" si="1170"/>
        <v>agosto</v>
      </c>
      <c r="D2637" t="s">
        <v>15</v>
      </c>
      <c r="F2637" t="s">
        <v>461</v>
      </c>
      <c r="G2637">
        <v>0.5</v>
      </c>
      <c r="H2637">
        <v>250</v>
      </c>
      <c r="I2637">
        <f t="shared" si="1174"/>
        <v>125</v>
      </c>
      <c r="J2637" t="s">
        <v>167</v>
      </c>
      <c r="K2637">
        <v>219</v>
      </c>
      <c r="M2637">
        <f t="shared" si="1171"/>
        <v>109.5</v>
      </c>
      <c r="N2637">
        <f t="shared" si="1172"/>
        <v>15.5</v>
      </c>
    </row>
    <row r="2638" spans="1:14" x14ac:dyDescent="0.25">
      <c r="A2638">
        <v>113</v>
      </c>
      <c r="B2638" s="1">
        <v>44054</v>
      </c>
      <c r="C2638" t="str">
        <f t="shared" si="1170"/>
        <v>agosto</v>
      </c>
      <c r="D2638" t="s">
        <v>15</v>
      </c>
      <c r="F2638" t="s">
        <v>461</v>
      </c>
      <c r="G2638">
        <v>1</v>
      </c>
      <c r="H2638">
        <v>250</v>
      </c>
      <c r="I2638">
        <f t="shared" si="1174"/>
        <v>250</v>
      </c>
      <c r="J2638" t="s">
        <v>167</v>
      </c>
      <c r="K2638">
        <v>219</v>
      </c>
      <c r="M2638">
        <f t="shared" si="1171"/>
        <v>219</v>
      </c>
      <c r="N2638">
        <f t="shared" si="1172"/>
        <v>31</v>
      </c>
    </row>
    <row r="2639" spans="1:14" x14ac:dyDescent="0.25">
      <c r="A2639">
        <v>114</v>
      </c>
      <c r="B2639" s="1">
        <v>44054</v>
      </c>
      <c r="C2639" t="str">
        <f t="shared" si="1170"/>
        <v>agosto</v>
      </c>
      <c r="D2639" t="s">
        <v>15</v>
      </c>
      <c r="F2639" t="s">
        <v>28</v>
      </c>
      <c r="G2639">
        <v>4</v>
      </c>
      <c r="H2639">
        <v>240</v>
      </c>
      <c r="I2639">
        <f t="shared" si="1174"/>
        <v>960</v>
      </c>
      <c r="J2639" t="s">
        <v>163</v>
      </c>
      <c r="K2639">
        <v>216</v>
      </c>
      <c r="M2639">
        <f t="shared" si="1171"/>
        <v>864</v>
      </c>
      <c r="N2639">
        <f t="shared" si="1172"/>
        <v>96</v>
      </c>
    </row>
    <row r="2640" spans="1:14" x14ac:dyDescent="0.25">
      <c r="A2640">
        <v>115</v>
      </c>
      <c r="B2640" s="1">
        <v>44054</v>
      </c>
      <c r="C2640" t="str">
        <f t="shared" si="1170"/>
        <v>agosto</v>
      </c>
      <c r="D2640" t="s">
        <v>56</v>
      </c>
      <c r="F2640" t="s">
        <v>267</v>
      </c>
      <c r="G2640">
        <v>7</v>
      </c>
      <c r="H2640">
        <v>170</v>
      </c>
      <c r="I2640">
        <f t="shared" si="1174"/>
        <v>1190</v>
      </c>
      <c r="J2640" t="s">
        <v>163</v>
      </c>
      <c r="K2640">
        <v>123</v>
      </c>
      <c r="M2640">
        <f t="shared" si="1171"/>
        <v>861</v>
      </c>
      <c r="N2640">
        <f t="shared" si="1172"/>
        <v>329</v>
      </c>
    </row>
    <row r="2641" spans="1:14" x14ac:dyDescent="0.25">
      <c r="A2641">
        <v>116</v>
      </c>
      <c r="B2641" s="1">
        <v>44054</v>
      </c>
      <c r="C2641" t="str">
        <f t="shared" si="1170"/>
        <v>agosto</v>
      </c>
      <c r="D2641" t="s">
        <v>15</v>
      </c>
      <c r="F2641" t="s">
        <v>421</v>
      </c>
      <c r="G2641">
        <v>22</v>
      </c>
      <c r="H2641">
        <v>280</v>
      </c>
      <c r="I2641">
        <f t="shared" si="1174"/>
        <v>6160</v>
      </c>
      <c r="J2641" t="s">
        <v>167</v>
      </c>
      <c r="K2641">
        <v>219</v>
      </c>
      <c r="M2641">
        <f t="shared" si="1171"/>
        <v>4818</v>
      </c>
      <c r="N2641">
        <f t="shared" si="1172"/>
        <v>1342</v>
      </c>
    </row>
    <row r="2642" spans="1:14" x14ac:dyDescent="0.25">
      <c r="A2642">
        <v>117</v>
      </c>
      <c r="B2642" s="1">
        <v>44054</v>
      </c>
      <c r="C2642" t="str">
        <f t="shared" si="1170"/>
        <v>agosto</v>
      </c>
      <c r="D2642" t="s">
        <v>44</v>
      </c>
      <c r="F2642" t="s">
        <v>138</v>
      </c>
      <c r="G2642">
        <v>2</v>
      </c>
      <c r="H2642">
        <v>35</v>
      </c>
      <c r="I2642">
        <f t="shared" si="1174"/>
        <v>70</v>
      </c>
      <c r="J2642" t="s">
        <v>166</v>
      </c>
      <c r="K2642">
        <v>29</v>
      </c>
      <c r="M2642">
        <f t="shared" si="1171"/>
        <v>58</v>
      </c>
      <c r="N2642">
        <f t="shared" si="1172"/>
        <v>12</v>
      </c>
    </row>
    <row r="2643" spans="1:14" x14ac:dyDescent="0.25">
      <c r="A2643">
        <v>118</v>
      </c>
      <c r="B2643" s="1">
        <v>44054</v>
      </c>
      <c r="C2643" t="str">
        <f t="shared" si="1170"/>
        <v>agosto</v>
      </c>
      <c r="D2643" t="s">
        <v>15</v>
      </c>
      <c r="F2643" t="s">
        <v>29</v>
      </c>
      <c r="G2643">
        <v>15.3</v>
      </c>
      <c r="H2643">
        <v>240</v>
      </c>
      <c r="I2643">
        <f t="shared" si="1174"/>
        <v>3672</v>
      </c>
      <c r="J2643" t="s">
        <v>163</v>
      </c>
      <c r="K2643">
        <v>211</v>
      </c>
      <c r="M2643">
        <f t="shared" si="1171"/>
        <v>3228.3</v>
      </c>
      <c r="N2643">
        <f t="shared" si="1172"/>
        <v>443.69999999999982</v>
      </c>
    </row>
    <row r="2644" spans="1:14" x14ac:dyDescent="0.25">
      <c r="A2644">
        <v>119</v>
      </c>
      <c r="B2644" s="1">
        <v>44054</v>
      </c>
      <c r="C2644" t="str">
        <f t="shared" si="1170"/>
        <v>agosto</v>
      </c>
      <c r="D2644" t="s">
        <v>15</v>
      </c>
      <c r="F2644" t="s">
        <v>29</v>
      </c>
      <c r="G2644">
        <v>3.06</v>
      </c>
      <c r="H2644">
        <v>240</v>
      </c>
      <c r="I2644">
        <f t="shared" si="1174"/>
        <v>734.4</v>
      </c>
      <c r="J2644" t="s">
        <v>163</v>
      </c>
      <c r="K2644">
        <v>211</v>
      </c>
      <c r="M2644">
        <f t="shared" si="1171"/>
        <v>645.66</v>
      </c>
      <c r="N2644">
        <f t="shared" si="1172"/>
        <v>88.740000000000009</v>
      </c>
    </row>
    <row r="2645" spans="1:14" x14ac:dyDescent="0.25">
      <c r="A2645">
        <v>120</v>
      </c>
      <c r="B2645" s="1">
        <v>44054</v>
      </c>
      <c r="C2645" t="str">
        <f t="shared" si="1170"/>
        <v>agosto</v>
      </c>
      <c r="D2645" t="s">
        <v>15</v>
      </c>
      <c r="F2645" t="s">
        <v>462</v>
      </c>
      <c r="G2645">
        <v>4</v>
      </c>
      <c r="H2645">
        <v>250</v>
      </c>
      <c r="I2645">
        <f t="shared" si="1174"/>
        <v>1000</v>
      </c>
      <c r="J2645" t="s">
        <v>163</v>
      </c>
      <c r="K2645">
        <v>220</v>
      </c>
      <c r="M2645">
        <f t="shared" si="1171"/>
        <v>880</v>
      </c>
      <c r="N2645">
        <f t="shared" si="1172"/>
        <v>120</v>
      </c>
    </row>
    <row r="2646" spans="1:14" x14ac:dyDescent="0.25">
      <c r="A2646">
        <v>121</v>
      </c>
      <c r="B2646" s="1">
        <v>44054</v>
      </c>
      <c r="C2646" t="str">
        <f t="shared" si="1170"/>
        <v>agosto</v>
      </c>
      <c r="D2646" t="s">
        <v>15</v>
      </c>
      <c r="F2646" t="s">
        <v>19</v>
      </c>
      <c r="G2646">
        <f>6/9</f>
        <v>0.66666666666666663</v>
      </c>
      <c r="H2646">
        <v>300</v>
      </c>
      <c r="I2646">
        <f t="shared" si="1174"/>
        <v>200</v>
      </c>
      <c r="J2646" t="s">
        <v>167</v>
      </c>
      <c r="K2646">
        <v>258</v>
      </c>
      <c r="M2646">
        <f t="shared" si="1171"/>
        <v>172</v>
      </c>
      <c r="N2646">
        <f t="shared" si="1172"/>
        <v>28</v>
      </c>
    </row>
    <row r="2647" spans="1:14" x14ac:dyDescent="0.25">
      <c r="A2647">
        <v>122</v>
      </c>
      <c r="B2647" s="1">
        <v>44054</v>
      </c>
      <c r="C2647" t="str">
        <f t="shared" si="1170"/>
        <v>agosto</v>
      </c>
      <c r="D2647" t="s">
        <v>15</v>
      </c>
      <c r="F2647" t="s">
        <v>131</v>
      </c>
      <c r="G2647">
        <v>1.66</v>
      </c>
      <c r="H2647">
        <v>300</v>
      </c>
      <c r="I2647">
        <f t="shared" si="1174"/>
        <v>498</v>
      </c>
      <c r="J2647" t="s">
        <v>167</v>
      </c>
      <c r="K2647">
        <v>268</v>
      </c>
      <c r="M2647">
        <f t="shared" si="1171"/>
        <v>444.88</v>
      </c>
      <c r="N2647">
        <f t="shared" si="1172"/>
        <v>53.120000000000005</v>
      </c>
    </row>
    <row r="2648" spans="1:14" x14ac:dyDescent="0.25">
      <c r="A2648">
        <v>123</v>
      </c>
      <c r="B2648" s="1">
        <v>44054</v>
      </c>
      <c r="C2648" t="str">
        <f t="shared" si="1170"/>
        <v>agosto</v>
      </c>
      <c r="D2648" t="s">
        <v>55</v>
      </c>
      <c r="F2648" t="s">
        <v>111</v>
      </c>
      <c r="G2648">
        <v>2</v>
      </c>
      <c r="H2648">
        <v>300</v>
      </c>
      <c r="I2648">
        <f t="shared" si="1174"/>
        <v>600</v>
      </c>
      <c r="J2648" t="s">
        <v>167</v>
      </c>
      <c r="K2648">
        <v>268</v>
      </c>
      <c r="M2648">
        <f t="shared" si="1171"/>
        <v>536</v>
      </c>
      <c r="N2648">
        <f t="shared" si="1172"/>
        <v>64</v>
      </c>
    </row>
    <row r="2649" spans="1:14" x14ac:dyDescent="0.25">
      <c r="A2649">
        <v>124</v>
      </c>
      <c r="B2649" s="1">
        <v>44054</v>
      </c>
      <c r="C2649" t="str">
        <f t="shared" si="1170"/>
        <v>agosto</v>
      </c>
      <c r="D2649" t="s">
        <v>85</v>
      </c>
      <c r="F2649" t="s">
        <v>216</v>
      </c>
      <c r="G2649">
        <v>1</v>
      </c>
      <c r="H2649">
        <v>900</v>
      </c>
      <c r="I2649">
        <f t="shared" si="1174"/>
        <v>900</v>
      </c>
      <c r="J2649" t="s">
        <v>167</v>
      </c>
      <c r="K2649">
        <v>480</v>
      </c>
      <c r="M2649">
        <f t="shared" si="1171"/>
        <v>480</v>
      </c>
      <c r="N2649">
        <f t="shared" si="1172"/>
        <v>420</v>
      </c>
    </row>
    <row r="2650" spans="1:14" x14ac:dyDescent="0.25">
      <c r="A2650">
        <v>125</v>
      </c>
      <c r="B2650" s="1">
        <v>44054</v>
      </c>
      <c r="C2650" t="str">
        <f t="shared" si="1170"/>
        <v>agosto</v>
      </c>
      <c r="D2650" t="s">
        <v>85</v>
      </c>
      <c r="F2650" t="s">
        <v>253</v>
      </c>
      <c r="G2650">
        <v>1</v>
      </c>
      <c r="H2650">
        <v>900</v>
      </c>
      <c r="I2650">
        <f t="shared" si="1174"/>
        <v>900</v>
      </c>
      <c r="J2650" t="s">
        <v>167</v>
      </c>
      <c r="K2650">
        <v>480</v>
      </c>
      <c r="M2650">
        <f t="shared" si="1171"/>
        <v>480</v>
      </c>
      <c r="N2650">
        <f t="shared" si="1172"/>
        <v>420</v>
      </c>
    </row>
    <row r="2651" spans="1:14" x14ac:dyDescent="0.25">
      <c r="A2651">
        <v>126</v>
      </c>
      <c r="B2651" s="1">
        <v>44054</v>
      </c>
      <c r="C2651" t="str">
        <f t="shared" si="1170"/>
        <v>agosto</v>
      </c>
      <c r="D2651" t="s">
        <v>85</v>
      </c>
      <c r="F2651" t="s">
        <v>463</v>
      </c>
      <c r="G2651">
        <v>1</v>
      </c>
      <c r="H2651">
        <v>200</v>
      </c>
      <c r="I2651">
        <f t="shared" si="1174"/>
        <v>200</v>
      </c>
      <c r="J2651" t="s">
        <v>166</v>
      </c>
      <c r="M2651" t="str">
        <f t="shared" si="1171"/>
        <v/>
      </c>
      <c r="N2651" t="str">
        <f t="shared" si="1172"/>
        <v/>
      </c>
    </row>
    <row r="2652" spans="1:14" x14ac:dyDescent="0.25">
      <c r="A2652">
        <v>127</v>
      </c>
      <c r="B2652" s="1">
        <v>44054</v>
      </c>
      <c r="C2652" t="str">
        <f t="shared" si="1170"/>
        <v>agosto</v>
      </c>
      <c r="D2652" t="s">
        <v>15</v>
      </c>
      <c r="F2652" t="s">
        <v>343</v>
      </c>
      <c r="G2652">
        <v>5.35</v>
      </c>
      <c r="H2652">
        <v>280</v>
      </c>
      <c r="I2652">
        <f t="shared" si="1174"/>
        <v>1498</v>
      </c>
      <c r="J2652" t="s">
        <v>167</v>
      </c>
      <c r="K2652">
        <v>219</v>
      </c>
      <c r="M2652">
        <f t="shared" si="1171"/>
        <v>1171.6499999999999</v>
      </c>
      <c r="N2652">
        <f t="shared" si="1172"/>
        <v>326.35000000000014</v>
      </c>
    </row>
    <row r="2653" spans="1:14" x14ac:dyDescent="0.25">
      <c r="A2653">
        <v>128</v>
      </c>
      <c r="B2653" s="1">
        <v>44055</v>
      </c>
      <c r="C2653" t="str">
        <f t="shared" si="1170"/>
        <v>agosto</v>
      </c>
      <c r="D2653" t="s">
        <v>15</v>
      </c>
      <c r="F2653" t="s">
        <v>19</v>
      </c>
      <c r="G2653">
        <f>10/9</f>
        <v>1.1111111111111112</v>
      </c>
      <c r="H2653">
        <v>300</v>
      </c>
      <c r="I2653">
        <f t="shared" si="1174"/>
        <v>333.33333333333337</v>
      </c>
      <c r="J2653" t="s">
        <v>167</v>
      </c>
      <c r="K2653">
        <v>268</v>
      </c>
      <c r="M2653">
        <f t="shared" si="1171"/>
        <v>297.77777777777777</v>
      </c>
      <c r="N2653">
        <f t="shared" si="1172"/>
        <v>35.5555555555556</v>
      </c>
    </row>
    <row r="2654" spans="1:14" x14ac:dyDescent="0.25">
      <c r="A2654">
        <v>129</v>
      </c>
      <c r="B2654" s="1">
        <v>44055</v>
      </c>
      <c r="C2654" t="str">
        <f t="shared" ref="C2654:C2717" si="1175">+TEXT(B2654,"mmmm")</f>
        <v>agosto</v>
      </c>
      <c r="D2654" t="s">
        <v>15</v>
      </c>
      <c r="F2654" t="s">
        <v>29</v>
      </c>
      <c r="G2654">
        <v>1.53</v>
      </c>
      <c r="H2654">
        <v>240</v>
      </c>
      <c r="I2654">
        <f t="shared" si="1174"/>
        <v>367.2</v>
      </c>
      <c r="J2654" t="s">
        <v>163</v>
      </c>
      <c r="K2654">
        <v>211</v>
      </c>
      <c r="M2654">
        <f t="shared" ref="M2654:M2717" si="1176">+IF(K2654=0,(""),(K2654*G2654))</f>
        <v>322.83</v>
      </c>
      <c r="N2654">
        <f t="shared" ref="N2654:N2717" si="1177">+IF(K2654=0,(""),(I2654-M2654))</f>
        <v>44.370000000000005</v>
      </c>
    </row>
    <row r="2655" spans="1:14" x14ac:dyDescent="0.25">
      <c r="A2655">
        <v>130</v>
      </c>
      <c r="B2655" s="1">
        <v>44055</v>
      </c>
      <c r="C2655" t="str">
        <f t="shared" si="1175"/>
        <v>agosto</v>
      </c>
      <c r="D2655" t="s">
        <v>15</v>
      </c>
      <c r="F2655" t="s">
        <v>20</v>
      </c>
      <c r="G2655">
        <v>4</v>
      </c>
      <c r="H2655">
        <v>250</v>
      </c>
      <c r="I2655">
        <f t="shared" si="1174"/>
        <v>1000</v>
      </c>
      <c r="J2655" t="s">
        <v>163</v>
      </c>
      <c r="K2655">
        <v>232</v>
      </c>
      <c r="M2655">
        <f t="shared" si="1176"/>
        <v>928</v>
      </c>
      <c r="N2655">
        <f t="shared" si="1177"/>
        <v>72</v>
      </c>
    </row>
    <row r="2656" spans="1:14" x14ac:dyDescent="0.25">
      <c r="A2656">
        <v>131</v>
      </c>
      <c r="B2656" s="1">
        <v>44055</v>
      </c>
      <c r="C2656" t="str">
        <f t="shared" si="1175"/>
        <v>agosto</v>
      </c>
      <c r="D2656" t="s">
        <v>92</v>
      </c>
      <c r="F2656" t="s">
        <v>91</v>
      </c>
      <c r="G2656">
        <v>1</v>
      </c>
      <c r="H2656">
        <v>45</v>
      </c>
      <c r="I2656">
        <f t="shared" si="1174"/>
        <v>45</v>
      </c>
      <c r="J2656" t="s">
        <v>198</v>
      </c>
      <c r="M2656" t="str">
        <f t="shared" si="1176"/>
        <v/>
      </c>
      <c r="N2656" t="str">
        <f t="shared" si="1177"/>
        <v/>
      </c>
    </row>
    <row r="2657" spans="1:14" x14ac:dyDescent="0.25">
      <c r="A2657">
        <v>132</v>
      </c>
      <c r="B2657" s="1">
        <v>44055</v>
      </c>
      <c r="C2657" t="str">
        <f t="shared" si="1175"/>
        <v>agosto</v>
      </c>
      <c r="D2657" t="s">
        <v>56</v>
      </c>
      <c r="F2657" t="s">
        <v>267</v>
      </c>
      <c r="G2657">
        <v>3</v>
      </c>
      <c r="H2657">
        <v>170</v>
      </c>
      <c r="I2657">
        <f t="shared" si="1174"/>
        <v>510</v>
      </c>
      <c r="J2657" t="s">
        <v>163</v>
      </c>
      <c r="K2657">
        <v>123</v>
      </c>
      <c r="M2657">
        <f t="shared" si="1176"/>
        <v>369</v>
      </c>
      <c r="N2657">
        <f t="shared" si="1177"/>
        <v>141</v>
      </c>
    </row>
    <row r="2658" spans="1:14" x14ac:dyDescent="0.25">
      <c r="A2658">
        <v>133</v>
      </c>
      <c r="B2658" s="1">
        <v>44055</v>
      </c>
      <c r="C2658" t="str">
        <f t="shared" si="1175"/>
        <v>agosto</v>
      </c>
      <c r="D2658" t="s">
        <v>25</v>
      </c>
      <c r="F2658" t="s">
        <v>60</v>
      </c>
      <c r="G2658">
        <v>2</v>
      </c>
      <c r="H2658">
        <v>60</v>
      </c>
      <c r="I2658">
        <f t="shared" si="1174"/>
        <v>120</v>
      </c>
      <c r="J2658" t="s">
        <v>165</v>
      </c>
      <c r="K2658">
        <v>33</v>
      </c>
      <c r="M2658">
        <f t="shared" si="1176"/>
        <v>66</v>
      </c>
      <c r="N2658">
        <f t="shared" si="1177"/>
        <v>54</v>
      </c>
    </row>
    <row r="2659" spans="1:14" x14ac:dyDescent="0.25">
      <c r="A2659">
        <v>134</v>
      </c>
      <c r="B2659" s="1">
        <v>44055</v>
      </c>
      <c r="C2659" t="str">
        <f t="shared" si="1175"/>
        <v>agosto</v>
      </c>
      <c r="D2659" t="s">
        <v>75</v>
      </c>
      <c r="F2659" t="s">
        <v>443</v>
      </c>
      <c r="G2659">
        <v>7</v>
      </c>
      <c r="H2659">
        <v>45</v>
      </c>
      <c r="I2659">
        <f t="shared" si="1174"/>
        <v>315</v>
      </c>
      <c r="J2659" t="s">
        <v>163</v>
      </c>
      <c r="K2659">
        <v>31</v>
      </c>
      <c r="M2659">
        <f t="shared" si="1176"/>
        <v>217</v>
      </c>
      <c r="N2659">
        <f t="shared" si="1177"/>
        <v>98</v>
      </c>
    </row>
    <row r="2660" spans="1:14" x14ac:dyDescent="0.25">
      <c r="A2660">
        <v>135</v>
      </c>
      <c r="B2660" s="1">
        <v>44056</v>
      </c>
      <c r="C2660" t="str">
        <f t="shared" si="1175"/>
        <v>agosto</v>
      </c>
      <c r="D2660" t="s">
        <v>25</v>
      </c>
      <c r="F2660" t="s">
        <v>58</v>
      </c>
      <c r="G2660">
        <v>1</v>
      </c>
      <c r="H2660">
        <v>60</v>
      </c>
      <c r="I2660">
        <f t="shared" si="1174"/>
        <v>60</v>
      </c>
      <c r="J2660" t="s">
        <v>165</v>
      </c>
      <c r="K2660">
        <v>33</v>
      </c>
      <c r="M2660">
        <f t="shared" si="1176"/>
        <v>33</v>
      </c>
      <c r="N2660">
        <f t="shared" si="1177"/>
        <v>27</v>
      </c>
    </row>
    <row r="2661" spans="1:14" x14ac:dyDescent="0.25">
      <c r="A2661">
        <v>136</v>
      </c>
      <c r="B2661" s="1">
        <v>44056</v>
      </c>
      <c r="C2661" t="str">
        <f t="shared" si="1175"/>
        <v>agosto</v>
      </c>
      <c r="D2661" t="s">
        <v>55</v>
      </c>
      <c r="F2661" t="s">
        <v>381</v>
      </c>
      <c r="G2661">
        <v>1</v>
      </c>
      <c r="H2661">
        <v>280</v>
      </c>
      <c r="I2661">
        <f t="shared" si="1174"/>
        <v>280</v>
      </c>
      <c r="J2661" t="s">
        <v>167</v>
      </c>
      <c r="K2661">
        <v>268</v>
      </c>
      <c r="M2661">
        <f t="shared" si="1176"/>
        <v>268</v>
      </c>
      <c r="N2661">
        <f t="shared" si="1177"/>
        <v>12</v>
      </c>
    </row>
    <row r="2662" spans="1:14" x14ac:dyDescent="0.25">
      <c r="A2662">
        <v>137</v>
      </c>
      <c r="B2662" s="1">
        <v>44056</v>
      </c>
      <c r="C2662" t="str">
        <f t="shared" si="1175"/>
        <v>agosto</v>
      </c>
      <c r="D2662" t="s">
        <v>26</v>
      </c>
      <c r="F2662" t="s">
        <v>47</v>
      </c>
      <c r="G2662">
        <v>2.85</v>
      </c>
      <c r="H2662">
        <v>350</v>
      </c>
      <c r="I2662">
        <f t="shared" si="1174"/>
        <v>997.5</v>
      </c>
      <c r="J2662" t="s">
        <v>99</v>
      </c>
      <c r="K2662">
        <v>260</v>
      </c>
      <c r="M2662">
        <f t="shared" si="1176"/>
        <v>741</v>
      </c>
      <c r="N2662">
        <f t="shared" si="1177"/>
        <v>256.5</v>
      </c>
    </row>
    <row r="2663" spans="1:14" x14ac:dyDescent="0.25">
      <c r="A2663">
        <v>138</v>
      </c>
      <c r="B2663" s="1">
        <v>44056</v>
      </c>
      <c r="C2663" t="str">
        <f t="shared" si="1175"/>
        <v>agosto</v>
      </c>
      <c r="D2663" t="s">
        <v>15</v>
      </c>
      <c r="F2663" t="s">
        <v>357</v>
      </c>
      <c r="G2663">
        <v>20</v>
      </c>
      <c r="H2663">
        <v>240</v>
      </c>
      <c r="I2663">
        <f t="shared" si="1174"/>
        <v>4800</v>
      </c>
      <c r="J2663" t="s">
        <v>167</v>
      </c>
      <c r="K2663">
        <v>207</v>
      </c>
      <c r="M2663">
        <f t="shared" si="1176"/>
        <v>4140</v>
      </c>
      <c r="N2663">
        <f t="shared" si="1177"/>
        <v>660</v>
      </c>
    </row>
    <row r="2664" spans="1:14" x14ac:dyDescent="0.25">
      <c r="A2664">
        <v>139</v>
      </c>
      <c r="B2664" s="1">
        <v>44056</v>
      </c>
      <c r="C2664" t="str">
        <f t="shared" si="1175"/>
        <v>agosto</v>
      </c>
      <c r="D2664" t="s">
        <v>70</v>
      </c>
      <c r="F2664" t="s">
        <v>420</v>
      </c>
      <c r="G2664">
        <v>1</v>
      </c>
      <c r="H2664">
        <v>3100</v>
      </c>
      <c r="I2664">
        <f t="shared" si="1174"/>
        <v>3100</v>
      </c>
      <c r="J2664" t="s">
        <v>163</v>
      </c>
      <c r="K2664">
        <v>2800</v>
      </c>
      <c r="M2664">
        <f t="shared" si="1176"/>
        <v>2800</v>
      </c>
      <c r="N2664">
        <f t="shared" si="1177"/>
        <v>300</v>
      </c>
    </row>
    <row r="2665" spans="1:14" x14ac:dyDescent="0.25">
      <c r="A2665">
        <v>140</v>
      </c>
      <c r="B2665" s="1">
        <v>44057</v>
      </c>
      <c r="C2665" t="str">
        <f t="shared" si="1175"/>
        <v>agosto</v>
      </c>
      <c r="D2665" t="s">
        <v>23</v>
      </c>
      <c r="F2665" t="s">
        <v>464</v>
      </c>
      <c r="G2665">
        <v>4</v>
      </c>
      <c r="H2665">
        <v>95</v>
      </c>
      <c r="I2665">
        <f t="shared" si="1174"/>
        <v>380</v>
      </c>
      <c r="J2665" t="s">
        <v>163</v>
      </c>
      <c r="K2665">
        <v>230</v>
      </c>
      <c r="M2665">
        <f t="shared" si="1176"/>
        <v>920</v>
      </c>
      <c r="N2665">
        <f t="shared" si="1177"/>
        <v>-540</v>
      </c>
    </row>
    <row r="2666" spans="1:14" x14ac:dyDescent="0.25">
      <c r="A2666">
        <v>141</v>
      </c>
      <c r="B2666" s="1">
        <v>44057</v>
      </c>
      <c r="C2666" t="str">
        <f t="shared" si="1175"/>
        <v>agosto</v>
      </c>
      <c r="D2666" t="s">
        <v>15</v>
      </c>
      <c r="F2666" t="s">
        <v>427</v>
      </c>
      <c r="G2666">
        <v>25</v>
      </c>
      <c r="H2666">
        <v>240</v>
      </c>
      <c r="I2666">
        <f t="shared" si="1174"/>
        <v>6000</v>
      </c>
      <c r="J2666" t="s">
        <v>13</v>
      </c>
      <c r="K2666">
        <v>230</v>
      </c>
      <c r="M2666">
        <f t="shared" si="1176"/>
        <v>5750</v>
      </c>
      <c r="N2666">
        <f t="shared" si="1177"/>
        <v>250</v>
      </c>
    </row>
    <row r="2667" spans="1:14" x14ac:dyDescent="0.25">
      <c r="A2667">
        <v>142</v>
      </c>
      <c r="B2667" s="1">
        <v>44057</v>
      </c>
      <c r="C2667" t="str">
        <f t="shared" si="1175"/>
        <v>agosto</v>
      </c>
      <c r="D2667" t="s">
        <v>15</v>
      </c>
      <c r="F2667" t="s">
        <v>29</v>
      </c>
      <c r="G2667">
        <v>22</v>
      </c>
      <c r="H2667">
        <v>240</v>
      </c>
      <c r="I2667">
        <f t="shared" si="1174"/>
        <v>5280</v>
      </c>
      <c r="J2667" t="s">
        <v>163</v>
      </c>
      <c r="K2667">
        <v>211</v>
      </c>
      <c r="M2667">
        <f t="shared" si="1176"/>
        <v>4642</v>
      </c>
      <c r="N2667">
        <f t="shared" si="1177"/>
        <v>638</v>
      </c>
    </row>
    <row r="2668" spans="1:14" x14ac:dyDescent="0.25">
      <c r="A2668">
        <v>143</v>
      </c>
      <c r="B2668" s="1">
        <v>44057</v>
      </c>
      <c r="C2668" t="str">
        <f t="shared" si="1175"/>
        <v>agosto</v>
      </c>
      <c r="D2668" t="s">
        <v>15</v>
      </c>
      <c r="F2668" t="s">
        <v>33</v>
      </c>
      <c r="G2668">
        <v>2</v>
      </c>
      <c r="H2668">
        <v>250</v>
      </c>
      <c r="I2668">
        <f t="shared" si="1174"/>
        <v>500</v>
      </c>
      <c r="J2668" t="s">
        <v>163</v>
      </c>
      <c r="K2668">
        <v>230</v>
      </c>
      <c r="M2668">
        <f t="shared" si="1176"/>
        <v>460</v>
      </c>
      <c r="N2668">
        <f t="shared" si="1177"/>
        <v>40</v>
      </c>
    </row>
    <row r="2669" spans="1:14" x14ac:dyDescent="0.25">
      <c r="A2669">
        <v>144</v>
      </c>
      <c r="B2669" s="1">
        <v>44057</v>
      </c>
      <c r="C2669" t="str">
        <f t="shared" si="1175"/>
        <v>agosto</v>
      </c>
      <c r="D2669" t="s">
        <v>55</v>
      </c>
      <c r="F2669" t="s">
        <v>111</v>
      </c>
      <c r="G2669">
        <v>2.35</v>
      </c>
      <c r="H2669">
        <v>300</v>
      </c>
      <c r="I2669">
        <f t="shared" si="1174"/>
        <v>705</v>
      </c>
      <c r="J2669" t="s">
        <v>167</v>
      </c>
      <c r="K2669">
        <v>268</v>
      </c>
      <c r="M2669">
        <f t="shared" si="1176"/>
        <v>629.80000000000007</v>
      </c>
      <c r="N2669">
        <f t="shared" si="1177"/>
        <v>75.199999999999932</v>
      </c>
    </row>
    <row r="2670" spans="1:14" x14ac:dyDescent="0.25">
      <c r="A2670">
        <v>145</v>
      </c>
      <c r="B2670" s="1">
        <v>44057</v>
      </c>
      <c r="C2670" t="str">
        <f t="shared" si="1175"/>
        <v>agosto</v>
      </c>
      <c r="D2670" t="s">
        <v>26</v>
      </c>
      <c r="F2670" t="s">
        <v>47</v>
      </c>
      <c r="G2670">
        <v>14</v>
      </c>
      <c r="H2670">
        <v>350</v>
      </c>
      <c r="I2670">
        <f t="shared" si="1174"/>
        <v>4900</v>
      </c>
      <c r="J2670" t="s">
        <v>99</v>
      </c>
      <c r="K2670">
        <v>260</v>
      </c>
      <c r="M2670">
        <f t="shared" si="1176"/>
        <v>3640</v>
      </c>
      <c r="N2670">
        <f t="shared" si="1177"/>
        <v>1260</v>
      </c>
    </row>
    <row r="2671" spans="1:14" x14ac:dyDescent="0.25">
      <c r="A2671">
        <v>146</v>
      </c>
      <c r="B2671" s="1">
        <v>44057</v>
      </c>
      <c r="C2671" t="str">
        <f t="shared" si="1175"/>
        <v>agosto</v>
      </c>
      <c r="D2671" t="s">
        <v>56</v>
      </c>
      <c r="F2671" t="s">
        <v>267</v>
      </c>
      <c r="G2671">
        <v>8</v>
      </c>
      <c r="H2671">
        <v>170</v>
      </c>
      <c r="I2671">
        <f t="shared" si="1174"/>
        <v>1360</v>
      </c>
      <c r="J2671" t="s">
        <v>163</v>
      </c>
      <c r="K2671">
        <v>123</v>
      </c>
      <c r="M2671">
        <f t="shared" si="1176"/>
        <v>984</v>
      </c>
      <c r="N2671">
        <f t="shared" si="1177"/>
        <v>376</v>
      </c>
    </row>
    <row r="2672" spans="1:14" x14ac:dyDescent="0.25">
      <c r="A2672">
        <v>147</v>
      </c>
      <c r="B2672" s="1">
        <v>44057</v>
      </c>
      <c r="C2672" t="str">
        <f t="shared" si="1175"/>
        <v>agosto</v>
      </c>
      <c r="D2672" t="s">
        <v>15</v>
      </c>
      <c r="F2672" t="s">
        <v>20</v>
      </c>
      <c r="G2672">
        <v>16</v>
      </c>
      <c r="H2672">
        <v>270</v>
      </c>
      <c r="I2672">
        <f t="shared" si="1174"/>
        <v>4320</v>
      </c>
      <c r="J2672" t="s">
        <v>163</v>
      </c>
      <c r="K2672">
        <v>232</v>
      </c>
      <c r="M2672">
        <f t="shared" si="1176"/>
        <v>3712</v>
      </c>
      <c r="N2672">
        <f t="shared" si="1177"/>
        <v>608</v>
      </c>
    </row>
    <row r="2673" spans="1:14" x14ac:dyDescent="0.25">
      <c r="A2673">
        <v>148</v>
      </c>
      <c r="B2673" s="1">
        <v>44057</v>
      </c>
      <c r="C2673" t="str">
        <f t="shared" si="1175"/>
        <v>agosto</v>
      </c>
      <c r="D2673" t="s">
        <v>44</v>
      </c>
      <c r="F2673" t="s">
        <v>138</v>
      </c>
      <c r="G2673">
        <v>1</v>
      </c>
      <c r="H2673">
        <v>35</v>
      </c>
      <c r="I2673">
        <f t="shared" si="1174"/>
        <v>35</v>
      </c>
      <c r="J2673" t="s">
        <v>166</v>
      </c>
      <c r="K2673">
        <v>29</v>
      </c>
      <c r="M2673">
        <f t="shared" si="1176"/>
        <v>29</v>
      </c>
      <c r="N2673">
        <f t="shared" si="1177"/>
        <v>6</v>
      </c>
    </row>
    <row r="2674" spans="1:14" x14ac:dyDescent="0.25">
      <c r="A2674">
        <v>149</v>
      </c>
      <c r="B2674" s="1">
        <v>44057</v>
      </c>
      <c r="C2674" t="str">
        <f t="shared" si="1175"/>
        <v>agosto</v>
      </c>
      <c r="D2674" t="s">
        <v>44</v>
      </c>
      <c r="F2674" t="s">
        <v>412</v>
      </c>
      <c r="G2674">
        <v>1</v>
      </c>
      <c r="H2674">
        <v>35</v>
      </c>
      <c r="I2674">
        <f t="shared" si="1174"/>
        <v>35</v>
      </c>
      <c r="J2674" t="s">
        <v>166</v>
      </c>
      <c r="K2674">
        <v>22</v>
      </c>
      <c r="M2674">
        <f t="shared" si="1176"/>
        <v>22</v>
      </c>
      <c r="N2674">
        <f t="shared" si="1177"/>
        <v>13</v>
      </c>
    </row>
    <row r="2675" spans="1:14" x14ac:dyDescent="0.25">
      <c r="A2675">
        <v>150</v>
      </c>
      <c r="B2675" s="1">
        <v>44057</v>
      </c>
      <c r="C2675" t="str">
        <f t="shared" si="1175"/>
        <v>agosto</v>
      </c>
      <c r="D2675" t="s">
        <v>55</v>
      </c>
      <c r="F2675" t="s">
        <v>430</v>
      </c>
      <c r="G2675">
        <f>15/12</f>
        <v>1.25</v>
      </c>
      <c r="H2675">
        <v>300</v>
      </c>
      <c r="I2675">
        <f t="shared" si="1174"/>
        <v>375</v>
      </c>
      <c r="J2675" t="s">
        <v>167</v>
      </c>
      <c r="K2675">
        <v>268</v>
      </c>
      <c r="M2675">
        <f t="shared" si="1176"/>
        <v>335</v>
      </c>
      <c r="N2675">
        <f t="shared" si="1177"/>
        <v>40</v>
      </c>
    </row>
    <row r="2676" spans="1:14" x14ac:dyDescent="0.25">
      <c r="A2676">
        <v>151</v>
      </c>
      <c r="B2676" s="1">
        <v>44057</v>
      </c>
      <c r="C2676" t="str">
        <f t="shared" si="1175"/>
        <v>agosto</v>
      </c>
      <c r="D2676" t="s">
        <v>23</v>
      </c>
      <c r="F2676" t="s">
        <v>66</v>
      </c>
      <c r="G2676">
        <v>1</v>
      </c>
      <c r="H2676">
        <v>120</v>
      </c>
      <c r="I2676">
        <f t="shared" si="1174"/>
        <v>120</v>
      </c>
      <c r="J2676" t="s">
        <v>187</v>
      </c>
      <c r="K2676">
        <v>107</v>
      </c>
      <c r="M2676">
        <f t="shared" si="1176"/>
        <v>107</v>
      </c>
      <c r="N2676">
        <f t="shared" si="1177"/>
        <v>13</v>
      </c>
    </row>
    <row r="2677" spans="1:14" x14ac:dyDescent="0.25">
      <c r="A2677">
        <v>152</v>
      </c>
      <c r="B2677" s="1">
        <v>44057</v>
      </c>
      <c r="C2677" t="str">
        <f t="shared" si="1175"/>
        <v>agosto</v>
      </c>
      <c r="D2677" t="s">
        <v>85</v>
      </c>
      <c r="F2677" t="s">
        <v>465</v>
      </c>
      <c r="G2677">
        <v>1</v>
      </c>
      <c r="H2677">
        <v>250</v>
      </c>
      <c r="I2677">
        <f t="shared" si="1174"/>
        <v>250</v>
      </c>
      <c r="J2677" t="s">
        <v>166</v>
      </c>
      <c r="M2677" t="str">
        <f t="shared" si="1176"/>
        <v/>
      </c>
      <c r="N2677" t="str">
        <f t="shared" si="1177"/>
        <v/>
      </c>
    </row>
    <row r="2678" spans="1:14" x14ac:dyDescent="0.25">
      <c r="A2678">
        <v>153</v>
      </c>
      <c r="B2678" s="1">
        <v>44058</v>
      </c>
      <c r="C2678" t="str">
        <f t="shared" si="1175"/>
        <v>agosto</v>
      </c>
      <c r="D2678" t="s">
        <v>15</v>
      </c>
      <c r="F2678" t="s">
        <v>29</v>
      </c>
      <c r="G2678">
        <v>8</v>
      </c>
      <c r="H2678">
        <v>240</v>
      </c>
      <c r="I2678">
        <f t="shared" si="1174"/>
        <v>1920</v>
      </c>
      <c r="J2678" t="s">
        <v>163</v>
      </c>
      <c r="K2678">
        <v>211</v>
      </c>
      <c r="M2678">
        <f t="shared" si="1176"/>
        <v>1688</v>
      </c>
      <c r="N2678">
        <f t="shared" si="1177"/>
        <v>232</v>
      </c>
    </row>
    <row r="2679" spans="1:14" x14ac:dyDescent="0.25">
      <c r="A2679">
        <v>154</v>
      </c>
      <c r="B2679" s="1">
        <v>44058</v>
      </c>
      <c r="C2679" t="str">
        <f t="shared" si="1175"/>
        <v>agosto</v>
      </c>
      <c r="D2679" t="s">
        <v>26</v>
      </c>
      <c r="F2679" t="s">
        <v>47</v>
      </c>
      <c r="G2679">
        <v>6.14</v>
      </c>
      <c r="H2679">
        <v>350</v>
      </c>
      <c r="I2679">
        <f t="shared" si="1174"/>
        <v>2149</v>
      </c>
      <c r="J2679" t="s">
        <v>99</v>
      </c>
      <c r="K2679">
        <v>260</v>
      </c>
      <c r="M2679">
        <f t="shared" si="1176"/>
        <v>1596.3999999999999</v>
      </c>
      <c r="N2679">
        <f t="shared" si="1177"/>
        <v>552.60000000000014</v>
      </c>
    </row>
    <row r="2680" spans="1:14" x14ac:dyDescent="0.25">
      <c r="A2680">
        <v>155</v>
      </c>
      <c r="B2680" s="1">
        <v>44058</v>
      </c>
      <c r="C2680" t="str">
        <f t="shared" si="1175"/>
        <v>agosto</v>
      </c>
      <c r="D2680" t="s">
        <v>15</v>
      </c>
      <c r="F2680" t="s">
        <v>28</v>
      </c>
      <c r="G2680">
        <v>9</v>
      </c>
      <c r="H2680">
        <v>240</v>
      </c>
      <c r="I2680">
        <f t="shared" si="1174"/>
        <v>2160</v>
      </c>
      <c r="J2680" t="s">
        <v>163</v>
      </c>
      <c r="K2680">
        <v>216</v>
      </c>
      <c r="M2680">
        <f t="shared" si="1176"/>
        <v>1944</v>
      </c>
      <c r="N2680">
        <f t="shared" si="1177"/>
        <v>216</v>
      </c>
    </row>
    <row r="2681" spans="1:14" x14ac:dyDescent="0.25">
      <c r="A2681">
        <v>156</v>
      </c>
      <c r="B2681" s="1">
        <v>44058</v>
      </c>
      <c r="C2681" t="str">
        <f t="shared" si="1175"/>
        <v>agosto</v>
      </c>
      <c r="D2681" t="s">
        <v>55</v>
      </c>
      <c r="F2681" t="s">
        <v>22</v>
      </c>
      <c r="G2681">
        <v>2</v>
      </c>
      <c r="H2681">
        <v>300</v>
      </c>
      <c r="I2681">
        <f t="shared" si="1174"/>
        <v>600</v>
      </c>
      <c r="J2681" t="s">
        <v>167</v>
      </c>
      <c r="K2681">
        <v>268</v>
      </c>
      <c r="M2681">
        <f t="shared" si="1176"/>
        <v>536</v>
      </c>
      <c r="N2681">
        <f t="shared" si="1177"/>
        <v>64</v>
      </c>
    </row>
    <row r="2682" spans="1:14" x14ac:dyDescent="0.25">
      <c r="A2682">
        <v>157</v>
      </c>
      <c r="B2682" s="1">
        <v>44058</v>
      </c>
      <c r="C2682" t="str">
        <f t="shared" si="1175"/>
        <v>agosto</v>
      </c>
      <c r="D2682" t="s">
        <v>25</v>
      </c>
      <c r="F2682" t="s">
        <v>72</v>
      </c>
      <c r="G2682">
        <v>1</v>
      </c>
      <c r="H2682">
        <v>60</v>
      </c>
      <c r="I2682">
        <f t="shared" si="1174"/>
        <v>60</v>
      </c>
      <c r="J2682" t="s">
        <v>165</v>
      </c>
      <c r="K2682">
        <v>33</v>
      </c>
      <c r="M2682">
        <f t="shared" si="1176"/>
        <v>33</v>
      </c>
      <c r="N2682">
        <f t="shared" si="1177"/>
        <v>27</v>
      </c>
    </row>
    <row r="2683" spans="1:14" x14ac:dyDescent="0.25">
      <c r="A2683">
        <v>158</v>
      </c>
      <c r="B2683" s="1">
        <v>44058</v>
      </c>
      <c r="C2683" t="str">
        <f t="shared" si="1175"/>
        <v>agosto</v>
      </c>
      <c r="D2683" t="s">
        <v>205</v>
      </c>
      <c r="F2683" t="s">
        <v>369</v>
      </c>
      <c r="G2683">
        <f>2/8*1.08</f>
        <v>0.27</v>
      </c>
      <c r="H2683">
        <f>14*34.75</f>
        <v>486.5</v>
      </c>
      <c r="I2683">
        <f t="shared" ref="I2683:I2746" si="1178">+G2683*H2683</f>
        <v>131.35500000000002</v>
      </c>
      <c r="J2683" t="s">
        <v>167</v>
      </c>
      <c r="K2683">
        <v>396</v>
      </c>
      <c r="M2683">
        <f t="shared" si="1176"/>
        <v>106.92</v>
      </c>
      <c r="N2683">
        <f t="shared" si="1177"/>
        <v>24.435000000000016</v>
      </c>
    </row>
    <row r="2684" spans="1:14" x14ac:dyDescent="0.25">
      <c r="A2684">
        <v>159</v>
      </c>
      <c r="B2684" s="1">
        <v>44058</v>
      </c>
      <c r="C2684" t="str">
        <f t="shared" si="1175"/>
        <v>agosto</v>
      </c>
      <c r="D2684" t="s">
        <v>55</v>
      </c>
      <c r="F2684" t="s">
        <v>22</v>
      </c>
      <c r="G2684">
        <v>6.5</v>
      </c>
      <c r="H2684">
        <v>300</v>
      </c>
      <c r="I2684">
        <f t="shared" si="1178"/>
        <v>1950</v>
      </c>
      <c r="J2684" t="s">
        <v>167</v>
      </c>
      <c r="K2684">
        <v>268</v>
      </c>
      <c r="M2684">
        <f t="shared" si="1176"/>
        <v>1742</v>
      </c>
      <c r="N2684">
        <f t="shared" si="1177"/>
        <v>208</v>
      </c>
    </row>
    <row r="2685" spans="1:14" x14ac:dyDescent="0.25">
      <c r="A2685">
        <v>160</v>
      </c>
      <c r="B2685" s="1">
        <v>44058</v>
      </c>
      <c r="C2685" t="str">
        <f t="shared" si="1175"/>
        <v>agosto</v>
      </c>
      <c r="D2685" t="s">
        <v>55</v>
      </c>
      <c r="F2685" t="s">
        <v>108</v>
      </c>
      <c r="G2685">
        <v>1.5</v>
      </c>
      <c r="H2685">
        <v>300</v>
      </c>
      <c r="I2685">
        <f t="shared" si="1178"/>
        <v>450</v>
      </c>
      <c r="J2685" t="s">
        <v>167</v>
      </c>
      <c r="K2685">
        <v>268</v>
      </c>
      <c r="M2685">
        <f t="shared" si="1176"/>
        <v>402</v>
      </c>
      <c r="N2685">
        <f t="shared" si="1177"/>
        <v>48</v>
      </c>
    </row>
    <row r="2686" spans="1:14" x14ac:dyDescent="0.25">
      <c r="A2686">
        <v>161</v>
      </c>
      <c r="B2686" s="1">
        <v>44058</v>
      </c>
      <c r="C2686" t="str">
        <f t="shared" si="1175"/>
        <v>agosto</v>
      </c>
      <c r="D2686" t="s">
        <v>25</v>
      </c>
      <c r="F2686" t="s">
        <v>58</v>
      </c>
      <c r="G2686">
        <v>3</v>
      </c>
      <c r="H2686">
        <v>60</v>
      </c>
      <c r="I2686">
        <f t="shared" si="1178"/>
        <v>180</v>
      </c>
      <c r="J2686" t="s">
        <v>165</v>
      </c>
      <c r="K2686">
        <v>33</v>
      </c>
      <c r="M2686">
        <f t="shared" si="1176"/>
        <v>99</v>
      </c>
      <c r="N2686">
        <f t="shared" si="1177"/>
        <v>81</v>
      </c>
    </row>
    <row r="2687" spans="1:14" x14ac:dyDescent="0.25">
      <c r="A2687">
        <v>162</v>
      </c>
      <c r="B2687" s="1">
        <v>44058</v>
      </c>
      <c r="C2687" t="str">
        <f t="shared" si="1175"/>
        <v>agosto</v>
      </c>
      <c r="D2687" t="s">
        <v>23</v>
      </c>
      <c r="F2687" t="s">
        <v>215</v>
      </c>
      <c r="G2687">
        <v>1</v>
      </c>
      <c r="H2687">
        <v>35</v>
      </c>
      <c r="I2687">
        <f t="shared" si="1178"/>
        <v>35</v>
      </c>
      <c r="J2687" t="s">
        <v>187</v>
      </c>
      <c r="K2687">
        <v>26</v>
      </c>
      <c r="M2687">
        <f t="shared" si="1176"/>
        <v>26</v>
      </c>
      <c r="N2687">
        <f t="shared" si="1177"/>
        <v>9</v>
      </c>
    </row>
    <row r="2688" spans="1:14" x14ac:dyDescent="0.25">
      <c r="A2688">
        <v>163</v>
      </c>
      <c r="B2688" s="1">
        <v>44060</v>
      </c>
      <c r="C2688" t="str">
        <f t="shared" si="1175"/>
        <v>agosto</v>
      </c>
      <c r="D2688" t="s">
        <v>55</v>
      </c>
      <c r="F2688" t="s">
        <v>430</v>
      </c>
      <c r="G2688">
        <f>1/12</f>
        <v>8.3333333333333329E-2</v>
      </c>
      <c r="H2688">
        <v>300</v>
      </c>
      <c r="I2688">
        <f t="shared" si="1178"/>
        <v>25</v>
      </c>
      <c r="J2688" t="s">
        <v>167</v>
      </c>
      <c r="K2688">
        <v>268</v>
      </c>
      <c r="M2688">
        <f t="shared" si="1176"/>
        <v>22.333333333333332</v>
      </c>
      <c r="N2688">
        <f t="shared" si="1177"/>
        <v>2.6666666666666679</v>
      </c>
    </row>
    <row r="2689" spans="1:14" x14ac:dyDescent="0.25">
      <c r="A2689">
        <v>164</v>
      </c>
      <c r="B2689" s="1">
        <v>44060</v>
      </c>
      <c r="C2689" t="str">
        <f t="shared" si="1175"/>
        <v>agosto</v>
      </c>
      <c r="D2689" t="s">
        <v>55</v>
      </c>
      <c r="F2689" t="s">
        <v>22</v>
      </c>
      <c r="G2689">
        <f>5/17</f>
        <v>0.29411764705882354</v>
      </c>
      <c r="H2689">
        <v>300</v>
      </c>
      <c r="I2689">
        <f t="shared" si="1178"/>
        <v>88.235294117647058</v>
      </c>
      <c r="J2689" t="s">
        <v>167</v>
      </c>
      <c r="K2689">
        <v>268</v>
      </c>
      <c r="M2689">
        <f t="shared" si="1176"/>
        <v>78.82352941176471</v>
      </c>
      <c r="N2689">
        <f t="shared" si="1177"/>
        <v>9.4117647058823479</v>
      </c>
    </row>
    <row r="2690" spans="1:14" x14ac:dyDescent="0.25">
      <c r="A2690">
        <v>165</v>
      </c>
      <c r="B2690" s="1">
        <v>44060</v>
      </c>
      <c r="C2690" t="str">
        <f t="shared" si="1175"/>
        <v>agosto</v>
      </c>
      <c r="D2690" t="s">
        <v>25</v>
      </c>
      <c r="F2690" t="s">
        <v>128</v>
      </c>
      <c r="G2690">
        <v>3</v>
      </c>
      <c r="H2690">
        <v>60</v>
      </c>
      <c r="I2690">
        <f t="shared" si="1178"/>
        <v>180</v>
      </c>
      <c r="J2690" t="s">
        <v>165</v>
      </c>
      <c r="K2690">
        <v>33</v>
      </c>
      <c r="M2690">
        <f t="shared" si="1176"/>
        <v>99</v>
      </c>
      <c r="N2690">
        <f t="shared" si="1177"/>
        <v>81</v>
      </c>
    </row>
    <row r="2691" spans="1:14" x14ac:dyDescent="0.25">
      <c r="A2691">
        <v>166</v>
      </c>
      <c r="B2691" s="1">
        <v>44060</v>
      </c>
      <c r="C2691" t="str">
        <f t="shared" si="1175"/>
        <v>agosto</v>
      </c>
      <c r="D2691" t="s">
        <v>26</v>
      </c>
      <c r="F2691" t="s">
        <v>47</v>
      </c>
      <c r="G2691">
        <v>1.44</v>
      </c>
      <c r="H2691">
        <v>350</v>
      </c>
      <c r="I2691">
        <f t="shared" si="1178"/>
        <v>504</v>
      </c>
      <c r="J2691" t="s">
        <v>99</v>
      </c>
      <c r="K2691">
        <v>260</v>
      </c>
      <c r="M2691">
        <f t="shared" si="1176"/>
        <v>374.4</v>
      </c>
      <c r="N2691">
        <f t="shared" si="1177"/>
        <v>129.60000000000002</v>
      </c>
    </row>
    <row r="2692" spans="1:14" x14ac:dyDescent="0.25">
      <c r="A2692">
        <v>167</v>
      </c>
      <c r="B2692" s="1">
        <v>44060</v>
      </c>
      <c r="C2692" t="str">
        <f t="shared" si="1175"/>
        <v>agosto</v>
      </c>
      <c r="D2692" t="s">
        <v>25</v>
      </c>
      <c r="F2692" t="s">
        <v>128</v>
      </c>
      <c r="G2692">
        <v>8</v>
      </c>
      <c r="H2692">
        <v>60</v>
      </c>
      <c r="I2692">
        <f t="shared" si="1178"/>
        <v>480</v>
      </c>
      <c r="J2692" t="s">
        <v>165</v>
      </c>
      <c r="K2692">
        <v>33</v>
      </c>
      <c r="M2692">
        <f t="shared" si="1176"/>
        <v>264</v>
      </c>
      <c r="N2692">
        <f t="shared" si="1177"/>
        <v>216</v>
      </c>
    </row>
    <row r="2693" spans="1:14" x14ac:dyDescent="0.25">
      <c r="A2693">
        <v>168</v>
      </c>
      <c r="B2693" s="1">
        <v>44060</v>
      </c>
      <c r="C2693" t="str">
        <f t="shared" si="1175"/>
        <v>agosto</v>
      </c>
      <c r="D2693" t="s">
        <v>15</v>
      </c>
      <c r="F2693" t="s">
        <v>357</v>
      </c>
      <c r="G2693">
        <v>17.5</v>
      </c>
      <c r="H2693">
        <v>240</v>
      </c>
      <c r="I2693">
        <f t="shared" si="1178"/>
        <v>4200</v>
      </c>
      <c r="J2693" t="s">
        <v>167</v>
      </c>
      <c r="K2693">
        <v>207</v>
      </c>
      <c r="M2693">
        <f t="shared" si="1176"/>
        <v>3622.5</v>
      </c>
      <c r="N2693">
        <f t="shared" si="1177"/>
        <v>577.5</v>
      </c>
    </row>
    <row r="2694" spans="1:14" x14ac:dyDescent="0.25">
      <c r="A2694">
        <v>169</v>
      </c>
      <c r="B2694" s="1">
        <v>44060</v>
      </c>
      <c r="C2694" t="str">
        <f t="shared" si="1175"/>
        <v>agosto</v>
      </c>
      <c r="D2694" t="s">
        <v>23</v>
      </c>
      <c r="F2694" t="s">
        <v>344</v>
      </c>
      <c r="G2694">
        <v>1</v>
      </c>
      <c r="H2694">
        <v>80</v>
      </c>
      <c r="I2694">
        <f t="shared" si="1178"/>
        <v>80</v>
      </c>
      <c r="J2694" t="s">
        <v>23</v>
      </c>
      <c r="M2694" t="str">
        <f t="shared" si="1176"/>
        <v/>
      </c>
      <c r="N2694" t="str">
        <f t="shared" si="1177"/>
        <v/>
      </c>
    </row>
    <row r="2695" spans="1:14" x14ac:dyDescent="0.25">
      <c r="A2695">
        <v>170</v>
      </c>
      <c r="B2695" s="1">
        <v>44060</v>
      </c>
      <c r="C2695" t="str">
        <f t="shared" si="1175"/>
        <v>agosto</v>
      </c>
      <c r="D2695" t="s">
        <v>56</v>
      </c>
      <c r="F2695" t="s">
        <v>267</v>
      </c>
      <c r="G2695">
        <v>1</v>
      </c>
      <c r="H2695">
        <v>170</v>
      </c>
      <c r="I2695">
        <f t="shared" si="1178"/>
        <v>170</v>
      </c>
      <c r="J2695" t="s">
        <v>163</v>
      </c>
      <c r="K2695">
        <v>123</v>
      </c>
      <c r="M2695">
        <f t="shared" si="1176"/>
        <v>123</v>
      </c>
      <c r="N2695">
        <f t="shared" si="1177"/>
        <v>47</v>
      </c>
    </row>
    <row r="2696" spans="1:14" x14ac:dyDescent="0.25">
      <c r="A2696">
        <v>171</v>
      </c>
      <c r="B2696" s="1">
        <v>44060</v>
      </c>
      <c r="C2696" t="str">
        <f t="shared" si="1175"/>
        <v>agosto</v>
      </c>
      <c r="D2696" t="s">
        <v>55</v>
      </c>
      <c r="F2696" t="s">
        <v>408</v>
      </c>
      <c r="G2696">
        <v>3</v>
      </c>
      <c r="H2696">
        <v>300</v>
      </c>
      <c r="I2696">
        <f t="shared" si="1178"/>
        <v>900</v>
      </c>
      <c r="J2696" t="s">
        <v>167</v>
      </c>
      <c r="K2696">
        <v>268</v>
      </c>
      <c r="M2696">
        <f t="shared" si="1176"/>
        <v>804</v>
      </c>
      <c r="N2696">
        <f t="shared" si="1177"/>
        <v>96</v>
      </c>
    </row>
    <row r="2697" spans="1:14" x14ac:dyDescent="0.25">
      <c r="A2697">
        <v>172</v>
      </c>
      <c r="B2697" s="1">
        <v>44060</v>
      </c>
      <c r="C2697" t="str">
        <f t="shared" si="1175"/>
        <v>agosto</v>
      </c>
      <c r="D2697" t="s">
        <v>44</v>
      </c>
      <c r="F2697" t="s">
        <v>138</v>
      </c>
      <c r="G2697">
        <v>1</v>
      </c>
      <c r="H2697">
        <v>35</v>
      </c>
      <c r="I2697">
        <f t="shared" si="1178"/>
        <v>35</v>
      </c>
      <c r="J2697" t="s">
        <v>166</v>
      </c>
      <c r="K2697">
        <v>29</v>
      </c>
      <c r="M2697">
        <f t="shared" si="1176"/>
        <v>29</v>
      </c>
      <c r="N2697">
        <f t="shared" si="1177"/>
        <v>6</v>
      </c>
    </row>
    <row r="2698" spans="1:14" x14ac:dyDescent="0.25">
      <c r="A2698">
        <v>173</v>
      </c>
      <c r="B2698" s="1">
        <v>44060</v>
      </c>
      <c r="C2698" t="str">
        <f t="shared" si="1175"/>
        <v>agosto</v>
      </c>
      <c r="D2698" t="s">
        <v>56</v>
      </c>
      <c r="F2698" t="s">
        <v>390</v>
      </c>
      <c r="G2698">
        <v>2</v>
      </c>
      <c r="H2698">
        <v>120</v>
      </c>
      <c r="I2698">
        <f t="shared" si="1178"/>
        <v>240</v>
      </c>
      <c r="J2698" t="s">
        <v>165</v>
      </c>
      <c r="K2698">
        <v>80</v>
      </c>
      <c r="M2698">
        <f t="shared" si="1176"/>
        <v>160</v>
      </c>
      <c r="N2698">
        <f t="shared" si="1177"/>
        <v>80</v>
      </c>
    </row>
    <row r="2699" spans="1:14" x14ac:dyDescent="0.25">
      <c r="A2699">
        <v>174</v>
      </c>
      <c r="B2699" s="1">
        <v>44060</v>
      </c>
      <c r="C2699" t="str">
        <f t="shared" si="1175"/>
        <v>agosto</v>
      </c>
      <c r="D2699" t="s">
        <v>25</v>
      </c>
      <c r="F2699" t="s">
        <v>58</v>
      </c>
      <c r="G2699">
        <v>1</v>
      </c>
      <c r="H2699">
        <v>60</v>
      </c>
      <c r="I2699">
        <f t="shared" si="1178"/>
        <v>60</v>
      </c>
      <c r="J2699" t="s">
        <v>165</v>
      </c>
      <c r="K2699">
        <v>33</v>
      </c>
      <c r="M2699">
        <f t="shared" si="1176"/>
        <v>33</v>
      </c>
      <c r="N2699">
        <f t="shared" si="1177"/>
        <v>27</v>
      </c>
    </row>
    <row r="2700" spans="1:14" x14ac:dyDescent="0.25">
      <c r="A2700">
        <v>175</v>
      </c>
      <c r="B2700" s="1">
        <v>44060</v>
      </c>
      <c r="C2700" t="str">
        <f t="shared" si="1175"/>
        <v>agosto</v>
      </c>
      <c r="D2700" t="s">
        <v>55</v>
      </c>
      <c r="F2700" t="s">
        <v>399</v>
      </c>
      <c r="G2700">
        <f>8/17</f>
        <v>0.47058823529411764</v>
      </c>
      <c r="H2700">
        <v>300</v>
      </c>
      <c r="I2700">
        <f t="shared" si="1178"/>
        <v>141.1764705882353</v>
      </c>
      <c r="J2700" t="s">
        <v>167</v>
      </c>
      <c r="K2700">
        <v>268</v>
      </c>
      <c r="M2700">
        <f t="shared" si="1176"/>
        <v>126.11764705882352</v>
      </c>
      <c r="N2700">
        <f t="shared" si="1177"/>
        <v>15.058823529411782</v>
      </c>
    </row>
    <row r="2701" spans="1:14" x14ac:dyDescent="0.25">
      <c r="A2701">
        <v>176</v>
      </c>
      <c r="B2701" s="1">
        <v>44060</v>
      </c>
      <c r="C2701" t="str">
        <f t="shared" si="1175"/>
        <v>agosto</v>
      </c>
      <c r="D2701" t="s">
        <v>15</v>
      </c>
      <c r="F2701" t="s">
        <v>131</v>
      </c>
      <c r="G2701">
        <f>2/9</f>
        <v>0.22222222222222221</v>
      </c>
      <c r="H2701">
        <v>300</v>
      </c>
      <c r="I2701">
        <f t="shared" si="1178"/>
        <v>66.666666666666657</v>
      </c>
      <c r="J2701" t="s">
        <v>167</v>
      </c>
      <c r="K2701">
        <v>268</v>
      </c>
      <c r="M2701">
        <f t="shared" si="1176"/>
        <v>59.55555555555555</v>
      </c>
      <c r="N2701">
        <f t="shared" si="1177"/>
        <v>7.1111111111111072</v>
      </c>
    </row>
    <row r="2702" spans="1:14" x14ac:dyDescent="0.25">
      <c r="A2702">
        <v>177</v>
      </c>
      <c r="B2702" s="1">
        <v>44060</v>
      </c>
      <c r="C2702" t="str">
        <f t="shared" si="1175"/>
        <v>agosto</v>
      </c>
      <c r="D2702" t="s">
        <v>15</v>
      </c>
      <c r="F2702" t="s">
        <v>29</v>
      </c>
      <c r="G2702">
        <v>40</v>
      </c>
      <c r="H2702">
        <v>240</v>
      </c>
      <c r="I2702">
        <f t="shared" si="1178"/>
        <v>9600</v>
      </c>
      <c r="J2702" t="s">
        <v>163</v>
      </c>
      <c r="K2702">
        <v>211</v>
      </c>
      <c r="M2702">
        <f t="shared" si="1176"/>
        <v>8440</v>
      </c>
      <c r="N2702">
        <f t="shared" si="1177"/>
        <v>1160</v>
      </c>
    </row>
    <row r="2703" spans="1:14" x14ac:dyDescent="0.25">
      <c r="A2703">
        <v>178</v>
      </c>
      <c r="B2703" s="1">
        <v>44060</v>
      </c>
      <c r="C2703" t="str">
        <f t="shared" si="1175"/>
        <v>agosto</v>
      </c>
      <c r="D2703" t="s">
        <v>25</v>
      </c>
      <c r="F2703" t="s">
        <v>127</v>
      </c>
      <c r="G2703">
        <v>4</v>
      </c>
      <c r="H2703">
        <v>60</v>
      </c>
      <c r="I2703">
        <f t="shared" si="1178"/>
        <v>240</v>
      </c>
      <c r="J2703" t="s">
        <v>165</v>
      </c>
      <c r="K2703">
        <v>33</v>
      </c>
      <c r="M2703">
        <f t="shared" si="1176"/>
        <v>132</v>
      </c>
      <c r="N2703">
        <f t="shared" si="1177"/>
        <v>108</v>
      </c>
    </row>
    <row r="2704" spans="1:14" x14ac:dyDescent="0.25">
      <c r="A2704">
        <v>179</v>
      </c>
      <c r="B2704" s="1">
        <v>44060</v>
      </c>
      <c r="C2704" t="str">
        <f t="shared" si="1175"/>
        <v>agosto</v>
      </c>
      <c r="D2704" t="s">
        <v>44</v>
      </c>
      <c r="F2704" t="s">
        <v>382</v>
      </c>
      <c r="G2704">
        <v>2</v>
      </c>
      <c r="H2704">
        <v>35</v>
      </c>
      <c r="I2704">
        <f t="shared" si="1178"/>
        <v>70</v>
      </c>
      <c r="J2704" t="s">
        <v>166</v>
      </c>
      <c r="K2704">
        <v>22</v>
      </c>
      <c r="M2704">
        <f t="shared" si="1176"/>
        <v>44</v>
      </c>
      <c r="N2704">
        <f t="shared" si="1177"/>
        <v>26</v>
      </c>
    </row>
    <row r="2705" spans="1:14" x14ac:dyDescent="0.25">
      <c r="A2705">
        <v>180</v>
      </c>
      <c r="B2705" s="1">
        <v>44060</v>
      </c>
      <c r="C2705" t="str">
        <f t="shared" si="1175"/>
        <v>agosto</v>
      </c>
      <c r="D2705" t="s">
        <v>24</v>
      </c>
      <c r="F2705" t="s">
        <v>24</v>
      </c>
      <c r="G2705">
        <v>2</v>
      </c>
      <c r="H2705">
        <v>100</v>
      </c>
      <c r="I2705">
        <f t="shared" si="1178"/>
        <v>200</v>
      </c>
      <c r="J2705" t="s">
        <v>186</v>
      </c>
      <c r="K2705">
        <v>80</v>
      </c>
      <c r="M2705">
        <f t="shared" si="1176"/>
        <v>160</v>
      </c>
      <c r="N2705">
        <f t="shared" si="1177"/>
        <v>40</v>
      </c>
    </row>
    <row r="2706" spans="1:14" x14ac:dyDescent="0.25">
      <c r="A2706">
        <v>181</v>
      </c>
      <c r="B2706" s="1">
        <v>44060</v>
      </c>
      <c r="C2706" t="str">
        <f t="shared" si="1175"/>
        <v>agosto</v>
      </c>
      <c r="D2706" t="s">
        <v>25</v>
      </c>
      <c r="F2706" t="s">
        <v>225</v>
      </c>
      <c r="G2706">
        <v>5</v>
      </c>
      <c r="H2706">
        <v>60</v>
      </c>
      <c r="I2706">
        <f t="shared" si="1178"/>
        <v>300</v>
      </c>
      <c r="J2706" t="s">
        <v>165</v>
      </c>
      <c r="K2706">
        <v>33</v>
      </c>
      <c r="M2706">
        <f t="shared" si="1176"/>
        <v>165</v>
      </c>
      <c r="N2706">
        <f t="shared" si="1177"/>
        <v>135</v>
      </c>
    </row>
    <row r="2707" spans="1:14" x14ac:dyDescent="0.25">
      <c r="A2707">
        <v>182</v>
      </c>
      <c r="B2707" s="1">
        <v>44060</v>
      </c>
      <c r="C2707" t="str">
        <f t="shared" si="1175"/>
        <v>agosto</v>
      </c>
      <c r="D2707" t="s">
        <v>56</v>
      </c>
      <c r="F2707" t="s">
        <v>176</v>
      </c>
      <c r="G2707">
        <v>8</v>
      </c>
      <c r="H2707">
        <v>260</v>
      </c>
      <c r="I2707">
        <f t="shared" si="1178"/>
        <v>2080</v>
      </c>
      <c r="J2707" t="s">
        <v>163</v>
      </c>
      <c r="K2707">
        <v>200</v>
      </c>
      <c r="M2707">
        <f t="shared" si="1176"/>
        <v>1600</v>
      </c>
      <c r="N2707">
        <f t="shared" si="1177"/>
        <v>480</v>
      </c>
    </row>
    <row r="2708" spans="1:14" x14ac:dyDescent="0.25">
      <c r="A2708">
        <v>183</v>
      </c>
      <c r="B2708" s="1">
        <v>44060</v>
      </c>
      <c r="C2708" t="str">
        <f t="shared" si="1175"/>
        <v>agosto</v>
      </c>
      <c r="D2708" t="s">
        <v>56</v>
      </c>
      <c r="F2708" t="s">
        <v>267</v>
      </c>
      <c r="G2708">
        <v>3.85</v>
      </c>
      <c r="H2708">
        <v>170</v>
      </c>
      <c r="I2708">
        <f t="shared" si="1178"/>
        <v>654.5</v>
      </c>
      <c r="J2708" t="s">
        <v>163</v>
      </c>
      <c r="K2708">
        <v>123</v>
      </c>
      <c r="M2708">
        <f t="shared" si="1176"/>
        <v>473.55</v>
      </c>
      <c r="N2708">
        <f t="shared" si="1177"/>
        <v>180.95</v>
      </c>
    </row>
    <row r="2709" spans="1:14" x14ac:dyDescent="0.25">
      <c r="A2709">
        <v>184</v>
      </c>
      <c r="B2709" s="1">
        <v>44060</v>
      </c>
      <c r="C2709" t="str">
        <f t="shared" si="1175"/>
        <v>agosto</v>
      </c>
      <c r="D2709" t="s">
        <v>15</v>
      </c>
      <c r="F2709" t="s">
        <v>346</v>
      </c>
      <c r="G2709">
        <v>2.5</v>
      </c>
      <c r="H2709">
        <v>250</v>
      </c>
      <c r="I2709">
        <f t="shared" si="1178"/>
        <v>625</v>
      </c>
      <c r="J2709" t="s">
        <v>167</v>
      </c>
      <c r="K2709">
        <v>219</v>
      </c>
      <c r="M2709">
        <f t="shared" si="1176"/>
        <v>547.5</v>
      </c>
      <c r="N2709">
        <f t="shared" si="1177"/>
        <v>77.5</v>
      </c>
    </row>
    <row r="2710" spans="1:14" x14ac:dyDescent="0.25">
      <c r="A2710">
        <v>185</v>
      </c>
      <c r="B2710" s="1">
        <v>44061</v>
      </c>
      <c r="C2710" t="str">
        <f t="shared" si="1175"/>
        <v>agosto</v>
      </c>
      <c r="D2710" t="s">
        <v>23</v>
      </c>
      <c r="F2710" t="s">
        <v>66</v>
      </c>
      <c r="G2710">
        <v>1</v>
      </c>
      <c r="H2710">
        <v>120</v>
      </c>
      <c r="I2710">
        <f t="shared" si="1178"/>
        <v>120</v>
      </c>
      <c r="J2710" t="s">
        <v>187</v>
      </c>
      <c r="K2710">
        <v>107</v>
      </c>
      <c r="M2710">
        <f t="shared" si="1176"/>
        <v>107</v>
      </c>
      <c r="N2710">
        <f t="shared" si="1177"/>
        <v>13</v>
      </c>
    </row>
    <row r="2711" spans="1:14" x14ac:dyDescent="0.25">
      <c r="A2711">
        <v>186</v>
      </c>
      <c r="B2711" s="1">
        <v>44061</v>
      </c>
      <c r="C2711" t="str">
        <f t="shared" si="1175"/>
        <v>agosto</v>
      </c>
      <c r="D2711" t="s">
        <v>92</v>
      </c>
      <c r="F2711" t="s">
        <v>455</v>
      </c>
      <c r="G2711">
        <v>1</v>
      </c>
      <c r="H2711">
        <v>135</v>
      </c>
      <c r="I2711">
        <f t="shared" si="1178"/>
        <v>135</v>
      </c>
      <c r="J2711" t="s">
        <v>166</v>
      </c>
      <c r="M2711" t="str">
        <f t="shared" si="1176"/>
        <v/>
      </c>
      <c r="N2711" t="str">
        <f t="shared" si="1177"/>
        <v/>
      </c>
    </row>
    <row r="2712" spans="1:14" x14ac:dyDescent="0.25">
      <c r="A2712">
        <v>187</v>
      </c>
      <c r="B2712" s="1">
        <v>44061</v>
      </c>
      <c r="C2712" t="str">
        <f t="shared" si="1175"/>
        <v>agosto</v>
      </c>
      <c r="D2712" t="s">
        <v>15</v>
      </c>
      <c r="F2712" t="s">
        <v>131</v>
      </c>
      <c r="G2712">
        <v>3</v>
      </c>
      <c r="H2712">
        <v>300</v>
      </c>
      <c r="I2712">
        <f t="shared" si="1178"/>
        <v>900</v>
      </c>
      <c r="J2712" t="s">
        <v>167</v>
      </c>
      <c r="K2712">
        <v>268</v>
      </c>
      <c r="M2712">
        <f t="shared" si="1176"/>
        <v>804</v>
      </c>
      <c r="N2712">
        <f t="shared" si="1177"/>
        <v>96</v>
      </c>
    </row>
    <row r="2713" spans="1:14" x14ac:dyDescent="0.25">
      <c r="A2713">
        <v>188</v>
      </c>
      <c r="B2713" s="1">
        <v>44061</v>
      </c>
      <c r="C2713" t="str">
        <f t="shared" si="1175"/>
        <v>agosto</v>
      </c>
      <c r="D2713" t="s">
        <v>15</v>
      </c>
      <c r="F2713" t="s">
        <v>29</v>
      </c>
      <c r="G2713">
        <v>10.71</v>
      </c>
      <c r="H2713">
        <v>240</v>
      </c>
      <c r="I2713">
        <f t="shared" si="1178"/>
        <v>2570.4</v>
      </c>
      <c r="J2713" t="s">
        <v>163</v>
      </c>
      <c r="K2713">
        <v>211</v>
      </c>
      <c r="M2713">
        <f t="shared" si="1176"/>
        <v>2259.8100000000004</v>
      </c>
      <c r="N2713">
        <f t="shared" si="1177"/>
        <v>310.58999999999969</v>
      </c>
    </row>
    <row r="2714" spans="1:14" x14ac:dyDescent="0.25">
      <c r="A2714">
        <v>189</v>
      </c>
      <c r="B2714" s="1">
        <v>44061</v>
      </c>
      <c r="C2714" t="str">
        <f t="shared" si="1175"/>
        <v>agosto</v>
      </c>
      <c r="D2714" t="s">
        <v>55</v>
      </c>
      <c r="F2714" t="s">
        <v>134</v>
      </c>
      <c r="G2714">
        <v>2</v>
      </c>
      <c r="H2714">
        <v>300</v>
      </c>
      <c r="I2714">
        <f t="shared" si="1178"/>
        <v>600</v>
      </c>
      <c r="J2714" t="s">
        <v>13</v>
      </c>
      <c r="K2714">
        <v>285</v>
      </c>
      <c r="M2714">
        <f t="shared" si="1176"/>
        <v>570</v>
      </c>
      <c r="N2714">
        <f t="shared" si="1177"/>
        <v>30</v>
      </c>
    </row>
    <row r="2715" spans="1:14" x14ac:dyDescent="0.25">
      <c r="A2715">
        <v>190</v>
      </c>
      <c r="B2715" s="1">
        <v>44061</v>
      </c>
      <c r="C2715" t="str">
        <f t="shared" si="1175"/>
        <v>agosto</v>
      </c>
      <c r="D2715" t="s">
        <v>55</v>
      </c>
      <c r="F2715" t="s">
        <v>149</v>
      </c>
      <c r="G2715">
        <v>4.58</v>
      </c>
      <c r="H2715">
        <v>300</v>
      </c>
      <c r="I2715">
        <f t="shared" si="1178"/>
        <v>1374</v>
      </c>
      <c r="J2715" t="s">
        <v>13</v>
      </c>
      <c r="K2715">
        <v>285</v>
      </c>
      <c r="M2715">
        <f t="shared" si="1176"/>
        <v>1305.3</v>
      </c>
      <c r="N2715">
        <f t="shared" si="1177"/>
        <v>68.700000000000045</v>
      </c>
    </row>
    <row r="2716" spans="1:14" x14ac:dyDescent="0.25">
      <c r="A2716">
        <v>191</v>
      </c>
      <c r="B2716" s="1">
        <v>44061</v>
      </c>
      <c r="C2716" t="str">
        <f t="shared" si="1175"/>
        <v>agosto</v>
      </c>
      <c r="D2716" t="s">
        <v>15</v>
      </c>
      <c r="F2716" t="s">
        <v>29</v>
      </c>
      <c r="G2716">
        <v>3</v>
      </c>
      <c r="H2716">
        <v>240</v>
      </c>
      <c r="I2716">
        <f t="shared" si="1178"/>
        <v>720</v>
      </c>
      <c r="J2716" t="s">
        <v>163</v>
      </c>
      <c r="K2716">
        <v>211</v>
      </c>
      <c r="M2716">
        <f t="shared" si="1176"/>
        <v>633</v>
      </c>
      <c r="N2716">
        <f t="shared" si="1177"/>
        <v>87</v>
      </c>
    </row>
    <row r="2717" spans="1:14" x14ac:dyDescent="0.25">
      <c r="A2717">
        <v>192</v>
      </c>
      <c r="B2717" s="1">
        <v>44061</v>
      </c>
      <c r="C2717" t="str">
        <f t="shared" si="1175"/>
        <v>agosto</v>
      </c>
      <c r="D2717" t="s">
        <v>15</v>
      </c>
      <c r="F2717" t="s">
        <v>396</v>
      </c>
      <c r="G2717">
        <v>8</v>
      </c>
      <c r="H2717">
        <v>273</v>
      </c>
      <c r="I2717">
        <f t="shared" si="1178"/>
        <v>2184</v>
      </c>
      <c r="J2717" t="s">
        <v>163</v>
      </c>
      <c r="K2717">
        <v>238</v>
      </c>
      <c r="M2717">
        <f t="shared" si="1176"/>
        <v>1904</v>
      </c>
      <c r="N2717">
        <f t="shared" si="1177"/>
        <v>280</v>
      </c>
    </row>
    <row r="2718" spans="1:14" x14ac:dyDescent="0.25">
      <c r="A2718">
        <v>193</v>
      </c>
      <c r="B2718" s="1">
        <v>44061</v>
      </c>
      <c r="C2718" t="str">
        <f t="shared" ref="C2718:C2781" si="1179">+TEXT(B2718,"mmmm")</f>
        <v>agosto</v>
      </c>
      <c r="D2718" t="s">
        <v>15</v>
      </c>
      <c r="F2718" t="s">
        <v>425</v>
      </c>
      <c r="G2718">
        <v>6</v>
      </c>
      <c r="H2718">
        <v>240</v>
      </c>
      <c r="I2718">
        <f t="shared" si="1178"/>
        <v>1440</v>
      </c>
      <c r="J2718" t="s">
        <v>167</v>
      </c>
      <c r="K2718">
        <v>207</v>
      </c>
      <c r="M2718">
        <f t="shared" ref="M2718:M2781" si="1180">+IF(K2718=0,(""),(K2718*G2718))</f>
        <v>1242</v>
      </c>
      <c r="N2718">
        <f t="shared" ref="N2718:N2781" si="1181">+IF(K2718=0,(""),(I2718-M2718))</f>
        <v>198</v>
      </c>
    </row>
    <row r="2719" spans="1:14" x14ac:dyDescent="0.25">
      <c r="A2719">
        <v>194</v>
      </c>
      <c r="B2719" s="1">
        <v>44061</v>
      </c>
      <c r="C2719" t="str">
        <f t="shared" si="1179"/>
        <v>agosto</v>
      </c>
      <c r="D2719" t="s">
        <v>44</v>
      </c>
      <c r="F2719" t="s">
        <v>382</v>
      </c>
      <c r="G2719">
        <v>1</v>
      </c>
      <c r="H2719">
        <v>35</v>
      </c>
      <c r="I2719">
        <f t="shared" si="1178"/>
        <v>35</v>
      </c>
      <c r="J2719" t="s">
        <v>166</v>
      </c>
      <c r="K2719">
        <v>22</v>
      </c>
      <c r="M2719">
        <f t="shared" si="1180"/>
        <v>22</v>
      </c>
      <c r="N2719">
        <f t="shared" si="1181"/>
        <v>13</v>
      </c>
    </row>
    <row r="2720" spans="1:14" x14ac:dyDescent="0.25">
      <c r="A2720">
        <v>195</v>
      </c>
      <c r="B2720" s="1">
        <v>44061</v>
      </c>
      <c r="C2720" t="str">
        <f t="shared" si="1179"/>
        <v>agosto</v>
      </c>
      <c r="D2720" t="s">
        <v>25</v>
      </c>
      <c r="F2720" t="s">
        <v>337</v>
      </c>
      <c r="G2720">
        <v>2</v>
      </c>
      <c r="H2720">
        <v>60</v>
      </c>
      <c r="I2720">
        <f t="shared" si="1178"/>
        <v>120</v>
      </c>
      <c r="J2720" t="s">
        <v>165</v>
      </c>
      <c r="K2720">
        <v>33</v>
      </c>
      <c r="M2720">
        <f t="shared" si="1180"/>
        <v>66</v>
      </c>
      <c r="N2720">
        <f t="shared" si="1181"/>
        <v>54</v>
      </c>
    </row>
    <row r="2721" spans="1:14" x14ac:dyDescent="0.25">
      <c r="A2721">
        <v>196</v>
      </c>
      <c r="B2721" s="1">
        <v>44061</v>
      </c>
      <c r="C2721" t="str">
        <f t="shared" si="1179"/>
        <v>agosto</v>
      </c>
      <c r="D2721" t="s">
        <v>15</v>
      </c>
      <c r="F2721" t="s">
        <v>425</v>
      </c>
      <c r="G2721">
        <v>0.5</v>
      </c>
      <c r="H2721">
        <v>240</v>
      </c>
      <c r="I2721">
        <f t="shared" si="1178"/>
        <v>120</v>
      </c>
      <c r="J2721" t="s">
        <v>167</v>
      </c>
      <c r="K2721">
        <v>207</v>
      </c>
      <c r="M2721">
        <f t="shared" si="1180"/>
        <v>103.5</v>
      </c>
      <c r="N2721">
        <f t="shared" si="1181"/>
        <v>16.5</v>
      </c>
    </row>
    <row r="2722" spans="1:14" x14ac:dyDescent="0.25">
      <c r="A2722">
        <v>197</v>
      </c>
      <c r="B2722" s="1">
        <v>44061</v>
      </c>
      <c r="C2722" t="str">
        <f t="shared" si="1179"/>
        <v>agosto</v>
      </c>
      <c r="D2722" t="s">
        <v>15</v>
      </c>
      <c r="F2722" t="s">
        <v>20</v>
      </c>
      <c r="G2722">
        <v>1.54</v>
      </c>
      <c r="H2722">
        <v>270</v>
      </c>
      <c r="I2722">
        <f t="shared" si="1178"/>
        <v>415.8</v>
      </c>
      <c r="J2722" t="s">
        <v>163</v>
      </c>
      <c r="K2722">
        <v>232</v>
      </c>
      <c r="M2722">
        <f t="shared" si="1180"/>
        <v>357.28000000000003</v>
      </c>
      <c r="N2722">
        <f t="shared" si="1181"/>
        <v>58.519999999999982</v>
      </c>
    </row>
    <row r="2723" spans="1:14" x14ac:dyDescent="0.25">
      <c r="A2723">
        <v>198</v>
      </c>
      <c r="B2723" s="1">
        <v>44061</v>
      </c>
      <c r="C2723" t="str">
        <f t="shared" si="1179"/>
        <v>agosto</v>
      </c>
      <c r="D2723" t="s">
        <v>56</v>
      </c>
      <c r="F2723" t="s">
        <v>267</v>
      </c>
      <c r="G2723">
        <v>3</v>
      </c>
      <c r="H2723">
        <v>170</v>
      </c>
      <c r="I2723">
        <f t="shared" si="1178"/>
        <v>510</v>
      </c>
      <c r="J2723" t="s">
        <v>163</v>
      </c>
      <c r="K2723">
        <v>123</v>
      </c>
      <c r="M2723">
        <f t="shared" si="1180"/>
        <v>369</v>
      </c>
      <c r="N2723">
        <f t="shared" si="1181"/>
        <v>141</v>
      </c>
    </row>
    <row r="2724" spans="1:14" x14ac:dyDescent="0.25">
      <c r="A2724">
        <v>199</v>
      </c>
      <c r="B2724" s="1">
        <v>44061</v>
      </c>
      <c r="C2724" t="str">
        <f t="shared" si="1179"/>
        <v>agosto</v>
      </c>
      <c r="D2724" t="s">
        <v>44</v>
      </c>
      <c r="F2724" t="s">
        <v>138</v>
      </c>
      <c r="G2724">
        <v>2</v>
      </c>
      <c r="H2724">
        <v>35</v>
      </c>
      <c r="I2724">
        <f t="shared" si="1178"/>
        <v>70</v>
      </c>
      <c r="J2724" t="s">
        <v>166</v>
      </c>
      <c r="K2724">
        <v>29</v>
      </c>
      <c r="M2724">
        <f t="shared" si="1180"/>
        <v>58</v>
      </c>
      <c r="N2724">
        <f t="shared" si="1181"/>
        <v>12</v>
      </c>
    </row>
    <row r="2725" spans="1:14" x14ac:dyDescent="0.25">
      <c r="A2725">
        <v>200</v>
      </c>
      <c r="B2725" s="1">
        <v>44061</v>
      </c>
      <c r="C2725" t="str">
        <f t="shared" si="1179"/>
        <v>agosto</v>
      </c>
      <c r="D2725" t="s">
        <v>15</v>
      </c>
      <c r="F2725" t="s">
        <v>461</v>
      </c>
      <c r="G2725">
        <v>4</v>
      </c>
      <c r="H2725">
        <v>250</v>
      </c>
      <c r="I2725">
        <f t="shared" si="1178"/>
        <v>1000</v>
      </c>
      <c r="J2725" t="s">
        <v>167</v>
      </c>
      <c r="K2725">
        <v>219</v>
      </c>
      <c r="M2725">
        <f t="shared" si="1180"/>
        <v>876</v>
      </c>
      <c r="N2725">
        <f t="shared" si="1181"/>
        <v>124</v>
      </c>
    </row>
    <row r="2726" spans="1:14" x14ac:dyDescent="0.25">
      <c r="A2726">
        <v>201</v>
      </c>
      <c r="B2726" s="1">
        <v>44061</v>
      </c>
      <c r="C2726" t="str">
        <f t="shared" si="1179"/>
        <v>agosto</v>
      </c>
      <c r="D2726" t="s">
        <v>15</v>
      </c>
      <c r="F2726" t="s">
        <v>296</v>
      </c>
      <c r="G2726">
        <v>3</v>
      </c>
      <c r="H2726">
        <v>280</v>
      </c>
      <c r="I2726">
        <f t="shared" si="1178"/>
        <v>840</v>
      </c>
      <c r="J2726" t="s">
        <v>163</v>
      </c>
      <c r="K2726">
        <v>233</v>
      </c>
      <c r="M2726">
        <f t="shared" si="1180"/>
        <v>699</v>
      </c>
      <c r="N2726">
        <f t="shared" si="1181"/>
        <v>141</v>
      </c>
    </row>
    <row r="2727" spans="1:14" x14ac:dyDescent="0.25">
      <c r="A2727">
        <v>202</v>
      </c>
      <c r="B2727" s="1">
        <v>44061</v>
      </c>
      <c r="C2727" t="str">
        <f t="shared" si="1179"/>
        <v>agosto</v>
      </c>
      <c r="D2727" t="s">
        <v>56</v>
      </c>
      <c r="F2727" t="s">
        <v>267</v>
      </c>
      <c r="G2727">
        <v>1</v>
      </c>
      <c r="H2727">
        <v>170</v>
      </c>
      <c r="I2727">
        <f t="shared" si="1178"/>
        <v>170</v>
      </c>
      <c r="J2727" t="s">
        <v>163</v>
      </c>
      <c r="K2727">
        <v>123</v>
      </c>
      <c r="M2727">
        <f t="shared" si="1180"/>
        <v>123</v>
      </c>
      <c r="N2727">
        <f t="shared" si="1181"/>
        <v>47</v>
      </c>
    </row>
    <row r="2728" spans="1:14" x14ac:dyDescent="0.25">
      <c r="A2728">
        <v>203</v>
      </c>
      <c r="B2728" s="1">
        <v>44061</v>
      </c>
      <c r="C2728" t="str">
        <f t="shared" si="1179"/>
        <v>agosto</v>
      </c>
      <c r="D2728" t="s">
        <v>25</v>
      </c>
      <c r="F2728" t="s">
        <v>130</v>
      </c>
      <c r="G2728">
        <v>1</v>
      </c>
      <c r="H2728">
        <v>60</v>
      </c>
      <c r="I2728">
        <f t="shared" si="1178"/>
        <v>60</v>
      </c>
      <c r="J2728" t="s">
        <v>165</v>
      </c>
      <c r="K2728">
        <v>33</v>
      </c>
      <c r="M2728">
        <f t="shared" si="1180"/>
        <v>33</v>
      </c>
      <c r="N2728">
        <f t="shared" si="1181"/>
        <v>27</v>
      </c>
    </row>
    <row r="2729" spans="1:14" x14ac:dyDescent="0.25">
      <c r="A2729">
        <v>204</v>
      </c>
      <c r="B2729" s="1">
        <v>44061</v>
      </c>
      <c r="C2729" t="str">
        <f t="shared" si="1179"/>
        <v>agosto</v>
      </c>
      <c r="D2729" t="s">
        <v>56</v>
      </c>
      <c r="F2729" t="s">
        <v>267</v>
      </c>
      <c r="G2729">
        <v>1</v>
      </c>
      <c r="H2729">
        <v>170</v>
      </c>
      <c r="I2729">
        <f t="shared" si="1178"/>
        <v>170</v>
      </c>
      <c r="J2729" t="s">
        <v>163</v>
      </c>
      <c r="K2729">
        <v>123</v>
      </c>
      <c r="M2729">
        <f t="shared" si="1180"/>
        <v>123</v>
      </c>
      <c r="N2729">
        <f t="shared" si="1181"/>
        <v>47</v>
      </c>
    </row>
    <row r="2730" spans="1:14" x14ac:dyDescent="0.25">
      <c r="A2730">
        <v>205</v>
      </c>
      <c r="B2730" s="1">
        <v>44061</v>
      </c>
      <c r="C2730" t="str">
        <f t="shared" si="1179"/>
        <v>agosto</v>
      </c>
      <c r="D2730" t="s">
        <v>15</v>
      </c>
      <c r="F2730" t="s">
        <v>425</v>
      </c>
      <c r="G2730">
        <v>8</v>
      </c>
      <c r="H2730">
        <v>240</v>
      </c>
      <c r="I2730">
        <f t="shared" si="1178"/>
        <v>1920</v>
      </c>
      <c r="J2730" t="s">
        <v>167</v>
      </c>
      <c r="K2730">
        <v>207</v>
      </c>
      <c r="M2730">
        <f t="shared" si="1180"/>
        <v>1656</v>
      </c>
      <c r="N2730">
        <f t="shared" si="1181"/>
        <v>264</v>
      </c>
    </row>
    <row r="2731" spans="1:14" x14ac:dyDescent="0.25">
      <c r="A2731">
        <v>206</v>
      </c>
      <c r="B2731" s="1">
        <v>44061</v>
      </c>
      <c r="C2731" t="str">
        <f t="shared" si="1179"/>
        <v>agosto</v>
      </c>
      <c r="D2731" t="s">
        <v>24</v>
      </c>
      <c r="F2731" t="s">
        <v>24</v>
      </c>
      <c r="G2731">
        <v>6.4</v>
      </c>
      <c r="H2731">
        <v>100</v>
      </c>
      <c r="I2731">
        <f t="shared" si="1178"/>
        <v>640</v>
      </c>
      <c r="J2731" t="s">
        <v>186</v>
      </c>
      <c r="K2731">
        <v>80</v>
      </c>
      <c r="M2731">
        <f t="shared" si="1180"/>
        <v>512</v>
      </c>
      <c r="N2731">
        <f t="shared" si="1181"/>
        <v>128</v>
      </c>
    </row>
    <row r="2732" spans="1:14" x14ac:dyDescent="0.25">
      <c r="A2732">
        <v>207</v>
      </c>
      <c r="B2732" s="1">
        <v>44061</v>
      </c>
      <c r="C2732" t="str">
        <f t="shared" si="1179"/>
        <v>agosto</v>
      </c>
      <c r="D2732" t="s">
        <v>25</v>
      </c>
      <c r="F2732" t="s">
        <v>130</v>
      </c>
      <c r="G2732">
        <v>1</v>
      </c>
      <c r="H2732">
        <v>60</v>
      </c>
      <c r="I2732">
        <f t="shared" si="1178"/>
        <v>60</v>
      </c>
      <c r="J2732" t="s">
        <v>165</v>
      </c>
      <c r="K2732">
        <v>33</v>
      </c>
      <c r="M2732">
        <f t="shared" si="1180"/>
        <v>33</v>
      </c>
      <c r="N2732">
        <f t="shared" si="1181"/>
        <v>27</v>
      </c>
    </row>
    <row r="2733" spans="1:14" x14ac:dyDescent="0.25">
      <c r="A2733">
        <v>208</v>
      </c>
      <c r="B2733" s="1">
        <v>44061</v>
      </c>
      <c r="C2733" t="str">
        <f t="shared" si="1179"/>
        <v>agosto</v>
      </c>
      <c r="D2733" t="s">
        <v>55</v>
      </c>
      <c r="F2733" t="s">
        <v>135</v>
      </c>
      <c r="G2733">
        <f>7/17</f>
        <v>0.41176470588235292</v>
      </c>
      <c r="H2733">
        <v>300</v>
      </c>
      <c r="I2733">
        <f t="shared" si="1178"/>
        <v>123.52941176470587</v>
      </c>
      <c r="J2733" t="s">
        <v>167</v>
      </c>
      <c r="K2733">
        <v>268</v>
      </c>
      <c r="M2733">
        <f t="shared" si="1180"/>
        <v>110.35294117647058</v>
      </c>
      <c r="N2733">
        <f t="shared" si="1181"/>
        <v>13.17647058823529</v>
      </c>
    </row>
    <row r="2734" spans="1:14" x14ac:dyDescent="0.25">
      <c r="A2734">
        <v>209</v>
      </c>
      <c r="B2734" s="1">
        <v>44061</v>
      </c>
      <c r="C2734" t="str">
        <f t="shared" si="1179"/>
        <v>agosto</v>
      </c>
      <c r="D2734" t="s">
        <v>25</v>
      </c>
      <c r="F2734" t="s">
        <v>58</v>
      </c>
      <c r="G2734">
        <v>1</v>
      </c>
      <c r="H2734">
        <v>60</v>
      </c>
      <c r="I2734">
        <f t="shared" si="1178"/>
        <v>60</v>
      </c>
      <c r="J2734" t="s">
        <v>165</v>
      </c>
      <c r="K2734">
        <v>33</v>
      </c>
      <c r="M2734">
        <f t="shared" si="1180"/>
        <v>33</v>
      </c>
      <c r="N2734">
        <f t="shared" si="1181"/>
        <v>27</v>
      </c>
    </row>
    <row r="2735" spans="1:14" x14ac:dyDescent="0.25">
      <c r="A2735">
        <v>210</v>
      </c>
      <c r="B2735" s="1">
        <v>44061</v>
      </c>
      <c r="C2735" t="str">
        <f t="shared" si="1179"/>
        <v>agosto</v>
      </c>
      <c r="D2735" t="s">
        <v>56</v>
      </c>
      <c r="F2735" t="s">
        <v>38</v>
      </c>
      <c r="G2735">
        <v>1</v>
      </c>
      <c r="H2735">
        <v>100</v>
      </c>
      <c r="I2735">
        <f t="shared" si="1178"/>
        <v>100</v>
      </c>
      <c r="J2735" t="s">
        <v>164</v>
      </c>
      <c r="K2735">
        <v>80</v>
      </c>
      <c r="M2735">
        <f t="shared" si="1180"/>
        <v>80</v>
      </c>
      <c r="N2735">
        <f t="shared" si="1181"/>
        <v>20</v>
      </c>
    </row>
    <row r="2736" spans="1:14" x14ac:dyDescent="0.25">
      <c r="A2736">
        <v>211</v>
      </c>
      <c r="B2736" s="1">
        <v>44062</v>
      </c>
      <c r="C2736" t="str">
        <f t="shared" si="1179"/>
        <v>agosto</v>
      </c>
      <c r="D2736" t="s">
        <v>78</v>
      </c>
      <c r="F2736" t="s">
        <v>79</v>
      </c>
      <c r="G2736">
        <v>1</v>
      </c>
      <c r="H2736">
        <v>1540</v>
      </c>
      <c r="I2736">
        <f t="shared" si="1178"/>
        <v>1540</v>
      </c>
      <c r="J2736" t="s">
        <v>167</v>
      </c>
      <c r="K2736">
        <v>1330</v>
      </c>
      <c r="M2736">
        <f t="shared" si="1180"/>
        <v>1330</v>
      </c>
      <c r="N2736">
        <f t="shared" si="1181"/>
        <v>210</v>
      </c>
    </row>
    <row r="2737" spans="1:14" x14ac:dyDescent="0.25">
      <c r="A2737">
        <v>212</v>
      </c>
      <c r="B2737" s="1">
        <v>44062</v>
      </c>
      <c r="C2737" t="str">
        <f t="shared" si="1179"/>
        <v>agosto</v>
      </c>
      <c r="D2737" t="s">
        <v>56</v>
      </c>
      <c r="F2737" t="s">
        <v>267</v>
      </c>
      <c r="G2737">
        <v>2</v>
      </c>
      <c r="H2737">
        <v>170</v>
      </c>
      <c r="I2737">
        <f t="shared" si="1178"/>
        <v>340</v>
      </c>
      <c r="J2737" t="s">
        <v>163</v>
      </c>
      <c r="K2737">
        <v>123</v>
      </c>
      <c r="M2737">
        <f t="shared" si="1180"/>
        <v>246</v>
      </c>
      <c r="N2737">
        <f t="shared" si="1181"/>
        <v>94</v>
      </c>
    </row>
    <row r="2738" spans="1:14" x14ac:dyDescent="0.25">
      <c r="A2738">
        <v>213</v>
      </c>
      <c r="B2738" s="1">
        <v>44062</v>
      </c>
      <c r="C2738" t="str">
        <f t="shared" si="1179"/>
        <v>agosto</v>
      </c>
      <c r="D2738" t="s">
        <v>15</v>
      </c>
      <c r="F2738" t="s">
        <v>391</v>
      </c>
      <c r="G2738">
        <v>1</v>
      </c>
      <c r="H2738">
        <v>250</v>
      </c>
      <c r="I2738">
        <f t="shared" si="1178"/>
        <v>250</v>
      </c>
      <c r="J2738" t="s">
        <v>167</v>
      </c>
      <c r="K2738">
        <v>219</v>
      </c>
      <c r="M2738">
        <f t="shared" si="1180"/>
        <v>219</v>
      </c>
      <c r="N2738">
        <f t="shared" si="1181"/>
        <v>31</v>
      </c>
    </row>
    <row r="2739" spans="1:14" x14ac:dyDescent="0.25">
      <c r="A2739">
        <v>214</v>
      </c>
      <c r="B2739" s="1">
        <v>44062</v>
      </c>
      <c r="C2739" t="str">
        <f t="shared" si="1179"/>
        <v>agosto</v>
      </c>
      <c r="D2739" t="s">
        <v>15</v>
      </c>
      <c r="F2739" t="s">
        <v>131</v>
      </c>
      <c r="G2739">
        <v>14</v>
      </c>
      <c r="H2739">
        <v>300</v>
      </c>
      <c r="I2739">
        <f t="shared" si="1178"/>
        <v>4200</v>
      </c>
      <c r="J2739" t="s">
        <v>167</v>
      </c>
      <c r="K2739">
        <v>268</v>
      </c>
      <c r="M2739">
        <f t="shared" si="1180"/>
        <v>3752</v>
      </c>
      <c r="N2739">
        <f t="shared" si="1181"/>
        <v>448</v>
      </c>
    </row>
    <row r="2740" spans="1:14" x14ac:dyDescent="0.25">
      <c r="A2740">
        <v>215</v>
      </c>
      <c r="B2740" s="1">
        <v>44062</v>
      </c>
      <c r="C2740" t="str">
        <f t="shared" si="1179"/>
        <v>agosto</v>
      </c>
      <c r="D2740" t="s">
        <v>23</v>
      </c>
      <c r="F2740" t="s">
        <v>43</v>
      </c>
      <c r="G2740">
        <v>3.33</v>
      </c>
      <c r="H2740">
        <v>60</v>
      </c>
      <c r="I2740">
        <f t="shared" si="1178"/>
        <v>199.8</v>
      </c>
      <c r="J2740" t="s">
        <v>187</v>
      </c>
      <c r="K2740">
        <v>40</v>
      </c>
      <c r="M2740">
        <f t="shared" si="1180"/>
        <v>133.19999999999999</v>
      </c>
      <c r="N2740">
        <f t="shared" si="1181"/>
        <v>66.600000000000023</v>
      </c>
    </row>
    <row r="2741" spans="1:14" x14ac:dyDescent="0.25">
      <c r="A2741">
        <v>216</v>
      </c>
      <c r="B2741" s="1">
        <v>44062</v>
      </c>
      <c r="C2741" t="str">
        <f t="shared" si="1179"/>
        <v>agosto</v>
      </c>
      <c r="D2741" t="s">
        <v>15</v>
      </c>
      <c r="F2741" t="s">
        <v>391</v>
      </c>
      <c r="G2741">
        <v>4</v>
      </c>
      <c r="H2741">
        <v>250</v>
      </c>
      <c r="I2741">
        <f t="shared" si="1178"/>
        <v>1000</v>
      </c>
      <c r="J2741" t="s">
        <v>167</v>
      </c>
      <c r="K2741">
        <v>219</v>
      </c>
      <c r="M2741">
        <f t="shared" si="1180"/>
        <v>876</v>
      </c>
      <c r="N2741">
        <f t="shared" si="1181"/>
        <v>124</v>
      </c>
    </row>
    <row r="2742" spans="1:14" x14ac:dyDescent="0.25">
      <c r="A2742">
        <v>217</v>
      </c>
      <c r="B2742" s="1">
        <v>44062</v>
      </c>
      <c r="C2742" t="str">
        <f t="shared" si="1179"/>
        <v>agosto</v>
      </c>
      <c r="D2742" t="s">
        <v>15</v>
      </c>
      <c r="F2742" t="s">
        <v>359</v>
      </c>
      <c r="G2742">
        <v>1</v>
      </c>
      <c r="H2742">
        <v>250</v>
      </c>
      <c r="I2742">
        <f t="shared" si="1178"/>
        <v>250</v>
      </c>
      <c r="J2742" t="s">
        <v>167</v>
      </c>
      <c r="K2742">
        <v>219</v>
      </c>
      <c r="M2742">
        <f t="shared" si="1180"/>
        <v>219</v>
      </c>
      <c r="N2742">
        <f t="shared" si="1181"/>
        <v>31</v>
      </c>
    </row>
    <row r="2743" spans="1:14" x14ac:dyDescent="0.25">
      <c r="A2743">
        <v>218</v>
      </c>
      <c r="B2743" s="1">
        <v>44062</v>
      </c>
      <c r="C2743" t="str">
        <f t="shared" si="1179"/>
        <v>agosto</v>
      </c>
      <c r="D2743" t="s">
        <v>15</v>
      </c>
      <c r="F2743" t="s">
        <v>359</v>
      </c>
      <c r="G2743">
        <f>1/10</f>
        <v>0.1</v>
      </c>
      <c r="H2743">
        <v>250</v>
      </c>
      <c r="I2743">
        <f t="shared" si="1178"/>
        <v>25</v>
      </c>
      <c r="J2743" t="s">
        <v>167</v>
      </c>
      <c r="K2743">
        <v>219</v>
      </c>
      <c r="M2743">
        <f t="shared" si="1180"/>
        <v>21.900000000000002</v>
      </c>
      <c r="N2743">
        <f t="shared" si="1181"/>
        <v>3.0999999999999979</v>
      </c>
    </row>
    <row r="2744" spans="1:14" x14ac:dyDescent="0.25">
      <c r="A2744">
        <v>219</v>
      </c>
      <c r="B2744" s="1">
        <v>44062</v>
      </c>
      <c r="C2744" t="str">
        <f t="shared" si="1179"/>
        <v>agosto</v>
      </c>
      <c r="D2744" t="s">
        <v>55</v>
      </c>
      <c r="F2744" t="s">
        <v>89</v>
      </c>
      <c r="G2744">
        <f>5/17</f>
        <v>0.29411764705882354</v>
      </c>
      <c r="H2744">
        <v>300</v>
      </c>
      <c r="I2744">
        <f t="shared" si="1178"/>
        <v>88.235294117647058</v>
      </c>
      <c r="J2744" t="s">
        <v>167</v>
      </c>
      <c r="K2744">
        <v>268</v>
      </c>
      <c r="M2744">
        <f t="shared" si="1180"/>
        <v>78.82352941176471</v>
      </c>
      <c r="N2744">
        <f t="shared" si="1181"/>
        <v>9.4117647058823479</v>
      </c>
    </row>
    <row r="2745" spans="1:14" x14ac:dyDescent="0.25">
      <c r="A2745">
        <v>220</v>
      </c>
      <c r="B2745" s="1">
        <v>44062</v>
      </c>
      <c r="C2745" t="str">
        <f t="shared" si="1179"/>
        <v>agosto</v>
      </c>
      <c r="D2745" t="s">
        <v>15</v>
      </c>
      <c r="F2745" t="s">
        <v>28</v>
      </c>
      <c r="G2745">
        <v>1</v>
      </c>
      <c r="H2745">
        <v>240</v>
      </c>
      <c r="I2745">
        <f t="shared" si="1178"/>
        <v>240</v>
      </c>
      <c r="J2745" t="s">
        <v>163</v>
      </c>
      <c r="K2745">
        <v>216</v>
      </c>
      <c r="M2745">
        <f t="shared" si="1180"/>
        <v>216</v>
      </c>
      <c r="N2745">
        <f t="shared" si="1181"/>
        <v>24</v>
      </c>
    </row>
    <row r="2746" spans="1:14" x14ac:dyDescent="0.25">
      <c r="A2746">
        <v>221</v>
      </c>
      <c r="B2746" s="1">
        <v>44062</v>
      </c>
      <c r="C2746" t="str">
        <f t="shared" si="1179"/>
        <v>agosto</v>
      </c>
      <c r="D2746" t="s">
        <v>55</v>
      </c>
      <c r="F2746" t="s">
        <v>135</v>
      </c>
      <c r="G2746">
        <v>1</v>
      </c>
      <c r="H2746">
        <v>300</v>
      </c>
      <c r="I2746">
        <f t="shared" si="1178"/>
        <v>300</v>
      </c>
      <c r="J2746" t="s">
        <v>167</v>
      </c>
      <c r="K2746">
        <v>268</v>
      </c>
      <c r="M2746">
        <f t="shared" si="1180"/>
        <v>268</v>
      </c>
      <c r="N2746">
        <f t="shared" si="1181"/>
        <v>32</v>
      </c>
    </row>
    <row r="2747" spans="1:14" x14ac:dyDescent="0.25">
      <c r="A2747">
        <v>222</v>
      </c>
      <c r="B2747" s="1">
        <v>44062</v>
      </c>
      <c r="C2747" t="str">
        <f t="shared" si="1179"/>
        <v>agosto</v>
      </c>
      <c r="D2747" t="s">
        <v>55</v>
      </c>
      <c r="F2747" t="s">
        <v>89</v>
      </c>
      <c r="G2747">
        <v>2</v>
      </c>
      <c r="H2747">
        <v>300</v>
      </c>
      <c r="I2747">
        <f t="shared" ref="I2747:I2810" si="1182">+G2747*H2747</f>
        <v>600</v>
      </c>
      <c r="J2747" t="s">
        <v>167</v>
      </c>
      <c r="K2747">
        <v>268</v>
      </c>
      <c r="M2747">
        <f t="shared" si="1180"/>
        <v>536</v>
      </c>
      <c r="N2747">
        <f t="shared" si="1181"/>
        <v>64</v>
      </c>
    </row>
    <row r="2748" spans="1:14" x14ac:dyDescent="0.25">
      <c r="A2748">
        <v>223</v>
      </c>
      <c r="B2748" s="1">
        <v>44062</v>
      </c>
      <c r="C2748" t="str">
        <f t="shared" si="1179"/>
        <v>agosto</v>
      </c>
      <c r="D2748" t="s">
        <v>56</v>
      </c>
      <c r="F2748" t="s">
        <v>267</v>
      </c>
      <c r="G2748">
        <v>1</v>
      </c>
      <c r="H2748">
        <v>170</v>
      </c>
      <c r="I2748">
        <f t="shared" si="1182"/>
        <v>170</v>
      </c>
      <c r="J2748" t="s">
        <v>163</v>
      </c>
      <c r="K2748">
        <v>123</v>
      </c>
      <c r="M2748">
        <f t="shared" si="1180"/>
        <v>123</v>
      </c>
      <c r="N2748">
        <f t="shared" si="1181"/>
        <v>47</v>
      </c>
    </row>
    <row r="2749" spans="1:14" x14ac:dyDescent="0.25">
      <c r="A2749">
        <v>224</v>
      </c>
      <c r="B2749" s="1">
        <v>44062</v>
      </c>
      <c r="C2749" t="str">
        <f t="shared" si="1179"/>
        <v>agosto</v>
      </c>
      <c r="D2749" t="s">
        <v>25</v>
      </c>
      <c r="F2749" t="s">
        <v>58</v>
      </c>
      <c r="G2749">
        <v>1</v>
      </c>
      <c r="H2749">
        <v>60</v>
      </c>
      <c r="I2749">
        <f t="shared" si="1182"/>
        <v>60</v>
      </c>
      <c r="J2749" t="s">
        <v>165</v>
      </c>
      <c r="K2749">
        <v>33</v>
      </c>
      <c r="M2749">
        <f t="shared" si="1180"/>
        <v>33</v>
      </c>
      <c r="N2749">
        <f t="shared" si="1181"/>
        <v>27</v>
      </c>
    </row>
    <row r="2750" spans="1:14" x14ac:dyDescent="0.25">
      <c r="A2750">
        <v>225</v>
      </c>
      <c r="B2750" s="1">
        <v>44062</v>
      </c>
      <c r="C2750" t="str">
        <f t="shared" si="1179"/>
        <v>agosto</v>
      </c>
      <c r="D2750" t="s">
        <v>25</v>
      </c>
      <c r="F2750" t="s">
        <v>337</v>
      </c>
      <c r="G2750">
        <v>1</v>
      </c>
      <c r="H2750">
        <v>60</v>
      </c>
      <c r="I2750">
        <f t="shared" si="1182"/>
        <v>60</v>
      </c>
      <c r="J2750" t="s">
        <v>165</v>
      </c>
      <c r="K2750">
        <v>33</v>
      </c>
      <c r="M2750">
        <f t="shared" si="1180"/>
        <v>33</v>
      </c>
      <c r="N2750">
        <f t="shared" si="1181"/>
        <v>27</v>
      </c>
    </row>
    <row r="2751" spans="1:14" x14ac:dyDescent="0.25">
      <c r="A2751">
        <v>226</v>
      </c>
      <c r="B2751" s="1">
        <v>44063</v>
      </c>
      <c r="C2751" t="str">
        <f t="shared" si="1179"/>
        <v>agosto</v>
      </c>
      <c r="D2751" t="s">
        <v>15</v>
      </c>
      <c r="F2751" t="s">
        <v>20</v>
      </c>
      <c r="G2751">
        <f>3/8*1.54</f>
        <v>0.57750000000000001</v>
      </c>
      <c r="H2751">
        <v>270</v>
      </c>
      <c r="I2751">
        <f t="shared" si="1182"/>
        <v>155.92500000000001</v>
      </c>
      <c r="J2751" t="s">
        <v>163</v>
      </c>
      <c r="K2751">
        <v>232</v>
      </c>
      <c r="M2751">
        <f t="shared" si="1180"/>
        <v>133.97999999999999</v>
      </c>
      <c r="N2751">
        <f t="shared" si="1181"/>
        <v>21.945000000000022</v>
      </c>
    </row>
    <row r="2752" spans="1:14" x14ac:dyDescent="0.25">
      <c r="A2752">
        <v>227</v>
      </c>
      <c r="B2752" s="1">
        <v>44063</v>
      </c>
      <c r="C2752" t="str">
        <f t="shared" si="1179"/>
        <v>agosto</v>
      </c>
      <c r="D2752" t="s">
        <v>15</v>
      </c>
      <c r="F2752" t="s">
        <v>312</v>
      </c>
      <c r="G2752">
        <f>2/9</f>
        <v>0.22222222222222221</v>
      </c>
      <c r="H2752">
        <v>300</v>
      </c>
      <c r="I2752">
        <f t="shared" si="1182"/>
        <v>66.666666666666657</v>
      </c>
      <c r="J2752" t="s">
        <v>167</v>
      </c>
      <c r="K2752">
        <v>268</v>
      </c>
      <c r="M2752">
        <f t="shared" si="1180"/>
        <v>59.55555555555555</v>
      </c>
      <c r="N2752">
        <f t="shared" si="1181"/>
        <v>7.1111111111111072</v>
      </c>
    </row>
    <row r="2753" spans="1:14" x14ac:dyDescent="0.25">
      <c r="A2753">
        <v>228</v>
      </c>
      <c r="B2753" s="1">
        <v>44063</v>
      </c>
      <c r="C2753" t="str">
        <f t="shared" si="1179"/>
        <v>agosto</v>
      </c>
      <c r="D2753" t="s">
        <v>56</v>
      </c>
      <c r="F2753" t="s">
        <v>267</v>
      </c>
      <c r="G2753">
        <v>1</v>
      </c>
      <c r="H2753">
        <v>170</v>
      </c>
      <c r="I2753">
        <f t="shared" si="1182"/>
        <v>170</v>
      </c>
      <c r="J2753" t="s">
        <v>163</v>
      </c>
      <c r="K2753">
        <v>123</v>
      </c>
      <c r="M2753">
        <f t="shared" si="1180"/>
        <v>123</v>
      </c>
      <c r="N2753">
        <f t="shared" si="1181"/>
        <v>47</v>
      </c>
    </row>
    <row r="2754" spans="1:14" x14ac:dyDescent="0.25">
      <c r="A2754">
        <v>229</v>
      </c>
      <c r="B2754" s="1">
        <v>44063</v>
      </c>
      <c r="C2754" t="str">
        <f t="shared" si="1179"/>
        <v>agosto</v>
      </c>
      <c r="D2754" t="s">
        <v>15</v>
      </c>
      <c r="F2754" t="s">
        <v>33</v>
      </c>
      <c r="G2754">
        <f>1/9</f>
        <v>0.1111111111111111</v>
      </c>
      <c r="H2754">
        <v>300</v>
      </c>
      <c r="I2754">
        <f t="shared" si="1182"/>
        <v>33.333333333333329</v>
      </c>
      <c r="J2754" t="s">
        <v>163</v>
      </c>
      <c r="K2754">
        <v>230</v>
      </c>
      <c r="M2754">
        <f t="shared" si="1180"/>
        <v>25.555555555555554</v>
      </c>
      <c r="N2754">
        <f t="shared" si="1181"/>
        <v>7.777777777777775</v>
      </c>
    </row>
    <row r="2755" spans="1:14" x14ac:dyDescent="0.25">
      <c r="A2755">
        <v>230</v>
      </c>
      <c r="B2755" s="1">
        <v>44063</v>
      </c>
      <c r="C2755" t="str">
        <f t="shared" si="1179"/>
        <v>agosto</v>
      </c>
      <c r="D2755" t="s">
        <v>15</v>
      </c>
      <c r="F2755" t="s">
        <v>391</v>
      </c>
      <c r="G2755">
        <v>0.5</v>
      </c>
      <c r="H2755">
        <v>250</v>
      </c>
      <c r="I2755">
        <f t="shared" si="1182"/>
        <v>125</v>
      </c>
      <c r="J2755" t="s">
        <v>167</v>
      </c>
      <c r="K2755">
        <v>219</v>
      </c>
      <c r="M2755">
        <f t="shared" si="1180"/>
        <v>109.5</v>
      </c>
      <c r="N2755">
        <f t="shared" si="1181"/>
        <v>15.5</v>
      </c>
    </row>
    <row r="2756" spans="1:14" x14ac:dyDescent="0.25">
      <c r="A2756">
        <v>231</v>
      </c>
      <c r="B2756" s="1">
        <v>44063</v>
      </c>
      <c r="C2756" t="str">
        <f t="shared" si="1179"/>
        <v>agosto</v>
      </c>
      <c r="D2756" t="s">
        <v>56</v>
      </c>
      <c r="F2756" t="s">
        <v>176</v>
      </c>
      <c r="G2756">
        <v>4</v>
      </c>
      <c r="H2756">
        <v>260</v>
      </c>
      <c r="I2756">
        <f t="shared" si="1182"/>
        <v>1040</v>
      </c>
      <c r="J2756" t="s">
        <v>163</v>
      </c>
      <c r="K2756">
        <v>200</v>
      </c>
      <c r="M2756">
        <f t="shared" si="1180"/>
        <v>800</v>
      </c>
      <c r="N2756">
        <f t="shared" si="1181"/>
        <v>240</v>
      </c>
    </row>
    <row r="2757" spans="1:14" x14ac:dyDescent="0.25">
      <c r="A2757">
        <v>232</v>
      </c>
      <c r="B2757" s="1">
        <v>44063</v>
      </c>
      <c r="C2757" t="str">
        <f t="shared" si="1179"/>
        <v>agosto</v>
      </c>
      <c r="D2757" t="s">
        <v>56</v>
      </c>
      <c r="F2757" t="s">
        <v>176</v>
      </c>
      <c r="G2757">
        <v>1</v>
      </c>
      <c r="H2757">
        <v>260</v>
      </c>
      <c r="I2757">
        <f t="shared" si="1182"/>
        <v>260</v>
      </c>
      <c r="J2757" t="s">
        <v>163</v>
      </c>
      <c r="K2757">
        <v>200</v>
      </c>
      <c r="M2757">
        <f t="shared" si="1180"/>
        <v>200</v>
      </c>
      <c r="N2757">
        <f t="shared" si="1181"/>
        <v>60</v>
      </c>
    </row>
    <row r="2758" spans="1:14" x14ac:dyDescent="0.25">
      <c r="A2758">
        <v>233</v>
      </c>
      <c r="B2758" s="1">
        <v>44063</v>
      </c>
      <c r="C2758" t="str">
        <f t="shared" si="1179"/>
        <v>agosto</v>
      </c>
      <c r="D2758" t="s">
        <v>70</v>
      </c>
      <c r="F2758" t="s">
        <v>290</v>
      </c>
      <c r="G2758">
        <v>1</v>
      </c>
      <c r="H2758">
        <v>400</v>
      </c>
      <c r="I2758">
        <f t="shared" si="1182"/>
        <v>400</v>
      </c>
      <c r="J2758" t="s">
        <v>167</v>
      </c>
      <c r="K2758">
        <v>311</v>
      </c>
      <c r="M2758">
        <f t="shared" si="1180"/>
        <v>311</v>
      </c>
      <c r="N2758">
        <f t="shared" si="1181"/>
        <v>89</v>
      </c>
    </row>
    <row r="2759" spans="1:14" x14ac:dyDescent="0.25">
      <c r="A2759">
        <v>234</v>
      </c>
      <c r="B2759" s="1">
        <v>44063</v>
      </c>
      <c r="C2759" t="str">
        <f t="shared" si="1179"/>
        <v>agosto</v>
      </c>
      <c r="D2759" t="s">
        <v>55</v>
      </c>
      <c r="F2759" t="s">
        <v>399</v>
      </c>
      <c r="G2759">
        <v>21</v>
      </c>
      <c r="H2759">
        <v>300</v>
      </c>
      <c r="I2759">
        <f t="shared" si="1182"/>
        <v>6300</v>
      </c>
      <c r="J2759" t="s">
        <v>167</v>
      </c>
      <c r="K2759">
        <v>268</v>
      </c>
      <c r="M2759">
        <f t="shared" si="1180"/>
        <v>5628</v>
      </c>
      <c r="N2759">
        <f t="shared" si="1181"/>
        <v>672</v>
      </c>
    </row>
    <row r="2760" spans="1:14" x14ac:dyDescent="0.25">
      <c r="A2760">
        <v>235</v>
      </c>
      <c r="B2760" s="1">
        <v>44063</v>
      </c>
      <c r="C2760" t="str">
        <f t="shared" si="1179"/>
        <v>agosto</v>
      </c>
      <c r="D2760" t="s">
        <v>56</v>
      </c>
      <c r="F2760" t="s">
        <v>267</v>
      </c>
      <c r="G2760">
        <v>13</v>
      </c>
      <c r="H2760">
        <v>170</v>
      </c>
      <c r="I2760">
        <f t="shared" si="1182"/>
        <v>2210</v>
      </c>
      <c r="J2760" t="s">
        <v>163</v>
      </c>
      <c r="K2760">
        <v>123</v>
      </c>
      <c r="M2760">
        <f t="shared" si="1180"/>
        <v>1599</v>
      </c>
      <c r="N2760">
        <f t="shared" si="1181"/>
        <v>611</v>
      </c>
    </row>
    <row r="2761" spans="1:14" x14ac:dyDescent="0.25">
      <c r="A2761">
        <v>236</v>
      </c>
      <c r="B2761" s="1">
        <v>44063</v>
      </c>
      <c r="C2761" t="str">
        <f t="shared" si="1179"/>
        <v>agosto</v>
      </c>
      <c r="D2761" t="s">
        <v>25</v>
      </c>
      <c r="F2761" t="s">
        <v>58</v>
      </c>
      <c r="G2761">
        <v>6</v>
      </c>
      <c r="H2761">
        <v>60</v>
      </c>
      <c r="I2761">
        <f t="shared" si="1182"/>
        <v>360</v>
      </c>
      <c r="J2761" t="s">
        <v>165</v>
      </c>
      <c r="K2761">
        <v>33</v>
      </c>
      <c r="M2761">
        <f t="shared" si="1180"/>
        <v>198</v>
      </c>
      <c r="N2761">
        <f t="shared" si="1181"/>
        <v>162</v>
      </c>
    </row>
    <row r="2762" spans="1:14" x14ac:dyDescent="0.25">
      <c r="A2762">
        <v>237</v>
      </c>
      <c r="B2762" s="1">
        <v>44063</v>
      </c>
      <c r="C2762" t="str">
        <f t="shared" si="1179"/>
        <v>agosto</v>
      </c>
      <c r="D2762" t="s">
        <v>15</v>
      </c>
      <c r="F2762" t="s">
        <v>32</v>
      </c>
      <c r="G2762">
        <v>7</v>
      </c>
      <c r="H2762">
        <v>280</v>
      </c>
      <c r="I2762">
        <f t="shared" si="1182"/>
        <v>1960</v>
      </c>
      <c r="J2762" t="s">
        <v>163</v>
      </c>
      <c r="K2762">
        <v>243</v>
      </c>
      <c r="M2762">
        <f t="shared" si="1180"/>
        <v>1701</v>
      </c>
      <c r="N2762">
        <f t="shared" si="1181"/>
        <v>259</v>
      </c>
    </row>
    <row r="2763" spans="1:14" x14ac:dyDescent="0.25">
      <c r="A2763">
        <v>238</v>
      </c>
      <c r="B2763" s="1">
        <v>44063</v>
      </c>
      <c r="C2763" t="str">
        <f t="shared" si="1179"/>
        <v>agosto</v>
      </c>
      <c r="D2763" t="s">
        <v>56</v>
      </c>
      <c r="F2763" t="s">
        <v>267</v>
      </c>
      <c r="G2763">
        <v>3</v>
      </c>
      <c r="H2763">
        <v>170</v>
      </c>
      <c r="I2763">
        <f t="shared" si="1182"/>
        <v>510</v>
      </c>
      <c r="J2763" t="s">
        <v>163</v>
      </c>
      <c r="K2763">
        <v>123</v>
      </c>
      <c r="M2763">
        <f t="shared" si="1180"/>
        <v>369</v>
      </c>
      <c r="N2763">
        <f t="shared" si="1181"/>
        <v>141</v>
      </c>
    </row>
    <row r="2764" spans="1:14" x14ac:dyDescent="0.25">
      <c r="A2764">
        <v>239</v>
      </c>
      <c r="B2764" s="1">
        <v>44063</v>
      </c>
      <c r="C2764" t="str">
        <f t="shared" si="1179"/>
        <v>agosto</v>
      </c>
      <c r="D2764" t="s">
        <v>44</v>
      </c>
      <c r="F2764" t="s">
        <v>138</v>
      </c>
      <c r="G2764">
        <v>1</v>
      </c>
      <c r="H2764">
        <v>35</v>
      </c>
      <c r="I2764">
        <f t="shared" si="1182"/>
        <v>35</v>
      </c>
      <c r="J2764" t="s">
        <v>166</v>
      </c>
      <c r="K2764">
        <v>29</v>
      </c>
      <c r="M2764">
        <f t="shared" si="1180"/>
        <v>29</v>
      </c>
      <c r="N2764">
        <f t="shared" si="1181"/>
        <v>6</v>
      </c>
    </row>
    <row r="2765" spans="1:14" x14ac:dyDescent="0.25">
      <c r="A2765">
        <v>240</v>
      </c>
      <c r="B2765" s="1">
        <v>44063</v>
      </c>
      <c r="C2765" t="str">
        <f t="shared" si="1179"/>
        <v>agosto</v>
      </c>
      <c r="D2765" t="s">
        <v>55</v>
      </c>
      <c r="F2765" t="s">
        <v>22</v>
      </c>
      <c r="G2765">
        <v>2</v>
      </c>
      <c r="H2765">
        <v>300</v>
      </c>
      <c r="I2765">
        <f t="shared" si="1182"/>
        <v>600</v>
      </c>
      <c r="J2765" t="s">
        <v>167</v>
      </c>
      <c r="K2765">
        <v>268</v>
      </c>
      <c r="M2765">
        <f t="shared" si="1180"/>
        <v>536</v>
      </c>
      <c r="N2765">
        <f t="shared" si="1181"/>
        <v>64</v>
      </c>
    </row>
    <row r="2766" spans="1:14" x14ac:dyDescent="0.25">
      <c r="A2766">
        <v>241</v>
      </c>
      <c r="B2766" s="1">
        <v>44063</v>
      </c>
      <c r="C2766" t="str">
        <f t="shared" si="1179"/>
        <v>agosto</v>
      </c>
      <c r="D2766" t="s">
        <v>25</v>
      </c>
      <c r="F2766" t="s">
        <v>72</v>
      </c>
      <c r="G2766">
        <v>1</v>
      </c>
      <c r="H2766">
        <v>60</v>
      </c>
      <c r="I2766">
        <f t="shared" si="1182"/>
        <v>60</v>
      </c>
      <c r="J2766" t="s">
        <v>165</v>
      </c>
      <c r="K2766">
        <v>33</v>
      </c>
      <c r="M2766">
        <f t="shared" si="1180"/>
        <v>33</v>
      </c>
      <c r="N2766">
        <f t="shared" si="1181"/>
        <v>27</v>
      </c>
    </row>
    <row r="2767" spans="1:14" x14ac:dyDescent="0.25">
      <c r="A2767">
        <v>242</v>
      </c>
      <c r="B2767" s="1">
        <v>44063</v>
      </c>
      <c r="C2767" t="str">
        <f t="shared" si="1179"/>
        <v>agosto</v>
      </c>
      <c r="D2767" t="s">
        <v>15</v>
      </c>
      <c r="F2767" t="s">
        <v>391</v>
      </c>
      <c r="G2767">
        <v>2</v>
      </c>
      <c r="H2767">
        <v>250</v>
      </c>
      <c r="I2767">
        <f t="shared" si="1182"/>
        <v>500</v>
      </c>
      <c r="J2767" t="s">
        <v>167</v>
      </c>
      <c r="K2767">
        <v>219</v>
      </c>
      <c r="M2767">
        <f t="shared" si="1180"/>
        <v>438</v>
      </c>
      <c r="N2767">
        <f t="shared" si="1181"/>
        <v>62</v>
      </c>
    </row>
    <row r="2768" spans="1:14" x14ac:dyDescent="0.25">
      <c r="A2768">
        <v>243</v>
      </c>
      <c r="B2768" s="1">
        <v>44063</v>
      </c>
      <c r="C2768" t="str">
        <f t="shared" si="1179"/>
        <v>agosto</v>
      </c>
      <c r="D2768" t="s">
        <v>56</v>
      </c>
      <c r="F2768" t="s">
        <v>267</v>
      </c>
      <c r="G2768">
        <v>2</v>
      </c>
      <c r="H2768">
        <v>170</v>
      </c>
      <c r="I2768">
        <f t="shared" si="1182"/>
        <v>340</v>
      </c>
      <c r="J2768" t="s">
        <v>163</v>
      </c>
      <c r="K2768">
        <v>123</v>
      </c>
      <c r="M2768">
        <f t="shared" si="1180"/>
        <v>246</v>
      </c>
      <c r="N2768">
        <f t="shared" si="1181"/>
        <v>94</v>
      </c>
    </row>
    <row r="2769" spans="1:14" x14ac:dyDescent="0.25">
      <c r="A2769">
        <v>244</v>
      </c>
      <c r="B2769" s="1">
        <v>44063</v>
      </c>
      <c r="C2769" t="str">
        <f t="shared" si="1179"/>
        <v>agosto</v>
      </c>
      <c r="D2769" t="s">
        <v>68</v>
      </c>
      <c r="F2769" t="s">
        <v>467</v>
      </c>
      <c r="G2769">
        <v>1</v>
      </c>
      <c r="H2769">
        <v>40</v>
      </c>
      <c r="I2769">
        <f t="shared" si="1182"/>
        <v>40</v>
      </c>
      <c r="J2769" t="s">
        <v>395</v>
      </c>
      <c r="M2769" t="str">
        <f t="shared" si="1180"/>
        <v/>
      </c>
      <c r="N2769" t="str">
        <f t="shared" si="1181"/>
        <v/>
      </c>
    </row>
    <row r="2770" spans="1:14" x14ac:dyDescent="0.25">
      <c r="A2770">
        <v>245</v>
      </c>
      <c r="B2770" s="1">
        <v>44063</v>
      </c>
      <c r="C2770" t="str">
        <f t="shared" si="1179"/>
        <v>agosto</v>
      </c>
      <c r="D2770" t="s">
        <v>15</v>
      </c>
      <c r="F2770" t="s">
        <v>468</v>
      </c>
      <c r="G2770">
        <f>4/4.9</f>
        <v>0.81632653061224481</v>
      </c>
      <c r="H2770">
        <v>380</v>
      </c>
      <c r="I2770">
        <f t="shared" si="1182"/>
        <v>310.20408163265301</v>
      </c>
      <c r="J2770" t="s">
        <v>167</v>
      </c>
      <c r="K2770">
        <v>306</v>
      </c>
      <c r="M2770">
        <f t="shared" si="1180"/>
        <v>249.7959183673469</v>
      </c>
      <c r="N2770">
        <f t="shared" si="1181"/>
        <v>60.408163265306115</v>
      </c>
    </row>
    <row r="2771" spans="1:14" x14ac:dyDescent="0.25">
      <c r="A2771">
        <v>246</v>
      </c>
      <c r="B2771" s="1">
        <v>44063</v>
      </c>
      <c r="C2771" t="str">
        <f t="shared" si="1179"/>
        <v>agosto</v>
      </c>
      <c r="D2771" t="s">
        <v>56</v>
      </c>
      <c r="F2771" t="s">
        <v>390</v>
      </c>
      <c r="G2771">
        <v>6</v>
      </c>
      <c r="H2771">
        <v>120</v>
      </c>
      <c r="I2771">
        <f t="shared" si="1182"/>
        <v>720</v>
      </c>
      <c r="J2771" t="s">
        <v>165</v>
      </c>
      <c r="K2771">
        <v>80</v>
      </c>
      <c r="M2771">
        <f t="shared" si="1180"/>
        <v>480</v>
      </c>
      <c r="N2771">
        <f t="shared" si="1181"/>
        <v>240</v>
      </c>
    </row>
    <row r="2772" spans="1:14" x14ac:dyDescent="0.25">
      <c r="A2772">
        <v>247</v>
      </c>
      <c r="B2772" s="1">
        <v>44063</v>
      </c>
      <c r="C2772" t="str">
        <f t="shared" si="1179"/>
        <v>agosto</v>
      </c>
      <c r="D2772" t="s">
        <v>25</v>
      </c>
      <c r="F2772" t="s">
        <v>137</v>
      </c>
      <c r="G2772">
        <v>4</v>
      </c>
      <c r="H2772">
        <v>60</v>
      </c>
      <c r="I2772">
        <f t="shared" si="1182"/>
        <v>240</v>
      </c>
      <c r="J2772" t="s">
        <v>165</v>
      </c>
      <c r="K2772">
        <v>33</v>
      </c>
      <c r="M2772">
        <f t="shared" si="1180"/>
        <v>132</v>
      </c>
      <c r="N2772">
        <f t="shared" si="1181"/>
        <v>108</v>
      </c>
    </row>
    <row r="2773" spans="1:14" x14ac:dyDescent="0.25">
      <c r="A2773">
        <v>248</v>
      </c>
      <c r="B2773" s="1">
        <v>44063</v>
      </c>
      <c r="C2773" t="str">
        <f t="shared" si="1179"/>
        <v>agosto</v>
      </c>
      <c r="D2773" t="s">
        <v>15</v>
      </c>
      <c r="F2773" t="s">
        <v>28</v>
      </c>
      <c r="G2773">
        <v>4</v>
      </c>
      <c r="H2773">
        <v>240</v>
      </c>
      <c r="I2773">
        <f t="shared" si="1182"/>
        <v>960</v>
      </c>
      <c r="J2773" t="s">
        <v>163</v>
      </c>
      <c r="K2773">
        <v>216</v>
      </c>
      <c r="M2773">
        <f t="shared" si="1180"/>
        <v>864</v>
      </c>
      <c r="N2773">
        <f t="shared" si="1181"/>
        <v>96</v>
      </c>
    </row>
    <row r="2774" spans="1:14" x14ac:dyDescent="0.25">
      <c r="A2774">
        <v>249</v>
      </c>
      <c r="B2774" s="1">
        <v>44064</v>
      </c>
      <c r="C2774" t="str">
        <f t="shared" si="1179"/>
        <v>agosto</v>
      </c>
      <c r="D2774" t="s">
        <v>15</v>
      </c>
      <c r="F2774" t="s">
        <v>28</v>
      </c>
      <c r="G2774">
        <v>3</v>
      </c>
      <c r="H2774">
        <v>240</v>
      </c>
      <c r="I2774">
        <f t="shared" si="1182"/>
        <v>720</v>
      </c>
      <c r="J2774" t="s">
        <v>163</v>
      </c>
      <c r="K2774">
        <v>216</v>
      </c>
      <c r="M2774">
        <f t="shared" si="1180"/>
        <v>648</v>
      </c>
      <c r="N2774">
        <f t="shared" si="1181"/>
        <v>72</v>
      </c>
    </row>
    <row r="2775" spans="1:14" x14ac:dyDescent="0.25">
      <c r="A2775">
        <v>250</v>
      </c>
      <c r="B2775" s="1">
        <v>44064</v>
      </c>
      <c r="C2775" t="str">
        <f t="shared" si="1179"/>
        <v>agosto</v>
      </c>
      <c r="D2775" t="s">
        <v>15</v>
      </c>
      <c r="F2775" t="s">
        <v>32</v>
      </c>
      <c r="G2775">
        <v>1</v>
      </c>
      <c r="H2775">
        <v>280</v>
      </c>
      <c r="I2775">
        <f t="shared" si="1182"/>
        <v>280</v>
      </c>
      <c r="J2775" t="s">
        <v>163</v>
      </c>
      <c r="K2775">
        <v>243</v>
      </c>
      <c r="M2775">
        <f t="shared" si="1180"/>
        <v>243</v>
      </c>
      <c r="N2775">
        <f t="shared" si="1181"/>
        <v>37</v>
      </c>
    </row>
    <row r="2776" spans="1:14" x14ac:dyDescent="0.25">
      <c r="A2776">
        <v>251</v>
      </c>
      <c r="B2776" s="1">
        <v>44064</v>
      </c>
      <c r="C2776" t="str">
        <f t="shared" si="1179"/>
        <v>agosto</v>
      </c>
      <c r="D2776" t="s">
        <v>15</v>
      </c>
      <c r="F2776" t="s">
        <v>32</v>
      </c>
      <c r="G2776">
        <f>3/9</f>
        <v>0.33333333333333331</v>
      </c>
      <c r="H2776">
        <v>280</v>
      </c>
      <c r="I2776">
        <f t="shared" si="1182"/>
        <v>93.333333333333329</v>
      </c>
      <c r="J2776" t="s">
        <v>163</v>
      </c>
      <c r="K2776">
        <v>243</v>
      </c>
      <c r="M2776">
        <f t="shared" si="1180"/>
        <v>81</v>
      </c>
      <c r="N2776">
        <f t="shared" si="1181"/>
        <v>12.333333333333329</v>
      </c>
    </row>
    <row r="2777" spans="1:14" x14ac:dyDescent="0.25">
      <c r="A2777">
        <v>252</v>
      </c>
      <c r="B2777" s="1">
        <v>44064</v>
      </c>
      <c r="C2777" t="str">
        <f t="shared" si="1179"/>
        <v>agosto</v>
      </c>
      <c r="D2777" t="s">
        <v>56</v>
      </c>
      <c r="F2777" t="s">
        <v>176</v>
      </c>
      <c r="G2777">
        <v>2</v>
      </c>
      <c r="H2777">
        <v>260</v>
      </c>
      <c r="I2777">
        <f t="shared" si="1182"/>
        <v>520</v>
      </c>
      <c r="J2777" t="s">
        <v>163</v>
      </c>
      <c r="K2777">
        <v>200</v>
      </c>
      <c r="M2777">
        <f t="shared" si="1180"/>
        <v>400</v>
      </c>
      <c r="N2777">
        <f t="shared" si="1181"/>
        <v>120</v>
      </c>
    </row>
    <row r="2778" spans="1:14" x14ac:dyDescent="0.25">
      <c r="A2778">
        <v>253</v>
      </c>
      <c r="B2778" s="1">
        <v>44064</v>
      </c>
      <c r="C2778" t="str">
        <f t="shared" si="1179"/>
        <v>agosto</v>
      </c>
      <c r="D2778" t="s">
        <v>25</v>
      </c>
      <c r="F2778" t="s">
        <v>72</v>
      </c>
      <c r="G2778">
        <v>4</v>
      </c>
      <c r="H2778">
        <v>60</v>
      </c>
      <c r="I2778">
        <f t="shared" si="1182"/>
        <v>240</v>
      </c>
      <c r="J2778" t="s">
        <v>165</v>
      </c>
      <c r="K2778">
        <v>33</v>
      </c>
      <c r="M2778">
        <f t="shared" si="1180"/>
        <v>132</v>
      </c>
      <c r="N2778">
        <f t="shared" si="1181"/>
        <v>108</v>
      </c>
    </row>
    <row r="2779" spans="1:14" x14ac:dyDescent="0.25">
      <c r="A2779">
        <v>254</v>
      </c>
      <c r="B2779" s="1">
        <v>44064</v>
      </c>
      <c r="C2779" t="str">
        <f t="shared" si="1179"/>
        <v>agosto</v>
      </c>
      <c r="D2779" t="s">
        <v>25</v>
      </c>
      <c r="F2779" t="s">
        <v>337</v>
      </c>
      <c r="G2779">
        <v>1</v>
      </c>
      <c r="H2779">
        <v>60</v>
      </c>
      <c r="I2779">
        <f t="shared" si="1182"/>
        <v>60</v>
      </c>
      <c r="J2779" t="s">
        <v>165</v>
      </c>
      <c r="K2779">
        <v>33</v>
      </c>
      <c r="M2779">
        <f t="shared" si="1180"/>
        <v>33</v>
      </c>
      <c r="N2779">
        <f t="shared" si="1181"/>
        <v>27</v>
      </c>
    </row>
    <row r="2780" spans="1:14" x14ac:dyDescent="0.25">
      <c r="A2780">
        <v>255</v>
      </c>
      <c r="B2780" s="1">
        <v>44064</v>
      </c>
      <c r="C2780" t="str">
        <f t="shared" si="1179"/>
        <v>agosto</v>
      </c>
      <c r="D2780" t="s">
        <v>15</v>
      </c>
      <c r="F2780" t="s">
        <v>32</v>
      </c>
      <c r="G2780">
        <f>3/9</f>
        <v>0.33333333333333331</v>
      </c>
      <c r="H2780">
        <v>280</v>
      </c>
      <c r="I2780">
        <f t="shared" si="1182"/>
        <v>93.333333333333329</v>
      </c>
      <c r="J2780" t="s">
        <v>163</v>
      </c>
      <c r="K2780">
        <v>243</v>
      </c>
      <c r="M2780">
        <f t="shared" si="1180"/>
        <v>81</v>
      </c>
      <c r="N2780">
        <f t="shared" si="1181"/>
        <v>12.333333333333329</v>
      </c>
    </row>
    <row r="2781" spans="1:14" x14ac:dyDescent="0.25">
      <c r="A2781">
        <v>256</v>
      </c>
      <c r="B2781" s="1">
        <v>44064</v>
      </c>
      <c r="C2781" t="str">
        <f t="shared" si="1179"/>
        <v>agosto</v>
      </c>
      <c r="D2781" t="s">
        <v>25</v>
      </c>
      <c r="F2781" t="s">
        <v>383</v>
      </c>
      <c r="G2781">
        <v>1</v>
      </c>
      <c r="H2781">
        <v>60</v>
      </c>
      <c r="I2781">
        <f t="shared" si="1182"/>
        <v>60</v>
      </c>
      <c r="J2781" t="s">
        <v>165</v>
      </c>
      <c r="K2781">
        <v>33</v>
      </c>
      <c r="M2781">
        <f t="shared" si="1180"/>
        <v>33</v>
      </c>
      <c r="N2781">
        <f t="shared" si="1181"/>
        <v>27</v>
      </c>
    </row>
    <row r="2782" spans="1:14" x14ac:dyDescent="0.25">
      <c r="A2782">
        <v>257</v>
      </c>
      <c r="B2782" s="1">
        <v>44064</v>
      </c>
      <c r="C2782" t="str">
        <f t="shared" ref="C2782:C2845" si="1183">+TEXT(B2782,"mmmm")</f>
        <v>agosto</v>
      </c>
      <c r="D2782" t="s">
        <v>25</v>
      </c>
      <c r="F2782" t="s">
        <v>58</v>
      </c>
      <c r="G2782">
        <v>1</v>
      </c>
      <c r="H2782">
        <v>60</v>
      </c>
      <c r="I2782">
        <f t="shared" si="1182"/>
        <v>60</v>
      </c>
      <c r="J2782" t="s">
        <v>165</v>
      </c>
      <c r="K2782">
        <v>33</v>
      </c>
      <c r="M2782">
        <f t="shared" ref="M2782:M2845" si="1184">+IF(K2782=0,(""),(K2782*G2782))</f>
        <v>33</v>
      </c>
      <c r="N2782">
        <f t="shared" ref="N2782:N2845" si="1185">+IF(K2782=0,(""),(I2782-M2782))</f>
        <v>27</v>
      </c>
    </row>
    <row r="2783" spans="1:14" x14ac:dyDescent="0.25">
      <c r="A2783">
        <v>258</v>
      </c>
      <c r="B2783" s="1">
        <v>44064</v>
      </c>
      <c r="C2783" t="str">
        <f t="shared" si="1183"/>
        <v>agosto</v>
      </c>
      <c r="D2783" t="s">
        <v>15</v>
      </c>
      <c r="F2783" t="s">
        <v>312</v>
      </c>
      <c r="G2783">
        <f>1/9</f>
        <v>0.1111111111111111</v>
      </c>
      <c r="H2783">
        <v>300</v>
      </c>
      <c r="I2783">
        <f t="shared" si="1182"/>
        <v>33.333333333333329</v>
      </c>
      <c r="J2783" t="s">
        <v>167</v>
      </c>
      <c r="K2783">
        <v>268</v>
      </c>
      <c r="M2783">
        <f t="shared" si="1184"/>
        <v>29.777777777777775</v>
      </c>
      <c r="N2783">
        <f t="shared" si="1185"/>
        <v>3.5555555555555536</v>
      </c>
    </row>
    <row r="2784" spans="1:14" x14ac:dyDescent="0.25">
      <c r="A2784">
        <v>259</v>
      </c>
      <c r="B2784" s="1">
        <v>44064</v>
      </c>
      <c r="C2784" t="str">
        <f t="shared" si="1183"/>
        <v>agosto</v>
      </c>
      <c r="D2784" t="s">
        <v>55</v>
      </c>
      <c r="F2784" t="s">
        <v>22</v>
      </c>
      <c r="G2784">
        <v>2</v>
      </c>
      <c r="H2784">
        <v>300</v>
      </c>
      <c r="I2784">
        <f t="shared" si="1182"/>
        <v>600</v>
      </c>
      <c r="J2784" t="s">
        <v>167</v>
      </c>
      <c r="K2784">
        <v>268</v>
      </c>
      <c r="M2784">
        <f t="shared" si="1184"/>
        <v>536</v>
      </c>
      <c r="N2784">
        <f t="shared" si="1185"/>
        <v>64</v>
      </c>
    </row>
    <row r="2785" spans="1:14" x14ac:dyDescent="0.25">
      <c r="A2785">
        <v>260</v>
      </c>
      <c r="B2785" s="1">
        <v>44064</v>
      </c>
      <c r="C2785" t="str">
        <f t="shared" si="1183"/>
        <v>agosto</v>
      </c>
      <c r="D2785" t="s">
        <v>92</v>
      </c>
      <c r="F2785" t="s">
        <v>91</v>
      </c>
      <c r="G2785">
        <v>1</v>
      </c>
      <c r="H2785">
        <v>45</v>
      </c>
      <c r="I2785">
        <f t="shared" si="1182"/>
        <v>45</v>
      </c>
      <c r="J2785" t="s">
        <v>198</v>
      </c>
      <c r="M2785" t="str">
        <f t="shared" si="1184"/>
        <v/>
      </c>
      <c r="N2785" t="str">
        <f t="shared" si="1185"/>
        <v/>
      </c>
    </row>
    <row r="2786" spans="1:14" x14ac:dyDescent="0.25">
      <c r="A2786">
        <v>261</v>
      </c>
      <c r="B2786" s="1">
        <v>44064</v>
      </c>
      <c r="C2786" t="str">
        <f t="shared" si="1183"/>
        <v>agosto</v>
      </c>
      <c r="D2786" t="s">
        <v>15</v>
      </c>
      <c r="F2786" t="s">
        <v>95</v>
      </c>
      <c r="G2786">
        <f>1/9</f>
        <v>0.1111111111111111</v>
      </c>
      <c r="H2786">
        <v>280</v>
      </c>
      <c r="I2786">
        <f t="shared" si="1182"/>
        <v>31.111111111111111</v>
      </c>
      <c r="J2786" t="s">
        <v>163</v>
      </c>
      <c r="K2786">
        <v>243</v>
      </c>
      <c r="M2786">
        <f t="shared" si="1184"/>
        <v>27</v>
      </c>
      <c r="N2786">
        <f t="shared" si="1185"/>
        <v>4.1111111111111107</v>
      </c>
    </row>
    <row r="2787" spans="1:14" x14ac:dyDescent="0.25">
      <c r="A2787">
        <v>262</v>
      </c>
      <c r="B2787" s="1">
        <v>44064</v>
      </c>
      <c r="C2787" t="str">
        <f t="shared" si="1183"/>
        <v>agosto</v>
      </c>
      <c r="D2787" t="s">
        <v>15</v>
      </c>
      <c r="F2787" t="s">
        <v>29</v>
      </c>
      <c r="G2787">
        <v>11</v>
      </c>
      <c r="H2787">
        <v>240</v>
      </c>
      <c r="I2787">
        <f t="shared" si="1182"/>
        <v>2640</v>
      </c>
      <c r="J2787" t="s">
        <v>163</v>
      </c>
      <c r="K2787">
        <v>211</v>
      </c>
      <c r="M2787">
        <f t="shared" si="1184"/>
        <v>2321</v>
      </c>
      <c r="N2787">
        <f t="shared" si="1185"/>
        <v>319</v>
      </c>
    </row>
    <row r="2788" spans="1:14" x14ac:dyDescent="0.25">
      <c r="A2788">
        <v>263</v>
      </c>
      <c r="B2788" s="1">
        <v>44064</v>
      </c>
      <c r="C2788" t="str">
        <f t="shared" si="1183"/>
        <v>agosto</v>
      </c>
      <c r="D2788" t="s">
        <v>25</v>
      </c>
      <c r="F2788" t="s">
        <v>127</v>
      </c>
      <c r="G2788">
        <v>5</v>
      </c>
      <c r="H2788">
        <v>60</v>
      </c>
      <c r="I2788">
        <f t="shared" si="1182"/>
        <v>300</v>
      </c>
      <c r="J2788" t="s">
        <v>165</v>
      </c>
      <c r="K2788">
        <v>33</v>
      </c>
      <c r="M2788">
        <f t="shared" si="1184"/>
        <v>165</v>
      </c>
      <c r="N2788">
        <f t="shared" si="1185"/>
        <v>135</v>
      </c>
    </row>
    <row r="2789" spans="1:14" x14ac:dyDescent="0.25">
      <c r="A2789">
        <v>264</v>
      </c>
      <c r="B2789" s="1">
        <v>44065</v>
      </c>
      <c r="C2789" t="str">
        <f t="shared" si="1183"/>
        <v>agosto</v>
      </c>
      <c r="D2789" t="s">
        <v>15</v>
      </c>
      <c r="F2789" t="s">
        <v>32</v>
      </c>
      <c r="G2789">
        <v>2</v>
      </c>
      <c r="H2789">
        <v>280</v>
      </c>
      <c r="I2789">
        <f t="shared" si="1182"/>
        <v>560</v>
      </c>
      <c r="J2789" t="s">
        <v>163</v>
      </c>
      <c r="K2789">
        <v>243</v>
      </c>
      <c r="M2789">
        <f t="shared" si="1184"/>
        <v>486</v>
      </c>
      <c r="N2789">
        <f t="shared" si="1185"/>
        <v>74</v>
      </c>
    </row>
    <row r="2790" spans="1:14" x14ac:dyDescent="0.25">
      <c r="A2790">
        <v>265</v>
      </c>
      <c r="B2790" s="1">
        <v>44065</v>
      </c>
      <c r="C2790" t="str">
        <f t="shared" si="1183"/>
        <v>agosto</v>
      </c>
      <c r="D2790" t="s">
        <v>15</v>
      </c>
      <c r="F2790" t="s">
        <v>20</v>
      </c>
      <c r="G2790">
        <v>20</v>
      </c>
      <c r="H2790">
        <v>270</v>
      </c>
      <c r="I2790">
        <f t="shared" si="1182"/>
        <v>5400</v>
      </c>
      <c r="J2790" t="s">
        <v>163</v>
      </c>
      <c r="K2790">
        <v>232</v>
      </c>
      <c r="M2790">
        <f t="shared" si="1184"/>
        <v>4640</v>
      </c>
      <c r="N2790">
        <f t="shared" si="1185"/>
        <v>760</v>
      </c>
    </row>
    <row r="2791" spans="1:14" x14ac:dyDescent="0.25">
      <c r="A2791">
        <v>266</v>
      </c>
      <c r="B2791" s="1">
        <v>44065</v>
      </c>
      <c r="C2791" t="str">
        <f t="shared" si="1183"/>
        <v>agosto</v>
      </c>
      <c r="D2791" t="s">
        <v>55</v>
      </c>
      <c r="F2791" t="s">
        <v>111</v>
      </c>
      <c r="G2791">
        <v>1</v>
      </c>
      <c r="H2791">
        <v>295</v>
      </c>
      <c r="I2791">
        <f t="shared" si="1182"/>
        <v>295</v>
      </c>
      <c r="J2791" t="s">
        <v>167</v>
      </c>
      <c r="K2791">
        <v>268</v>
      </c>
      <c r="M2791">
        <f t="shared" si="1184"/>
        <v>268</v>
      </c>
      <c r="N2791">
        <f t="shared" si="1185"/>
        <v>27</v>
      </c>
    </row>
    <row r="2792" spans="1:14" x14ac:dyDescent="0.25">
      <c r="A2792">
        <v>267</v>
      </c>
      <c r="B2792" s="1">
        <v>44065</v>
      </c>
      <c r="C2792" t="str">
        <f t="shared" si="1183"/>
        <v>agosto</v>
      </c>
      <c r="D2792" t="s">
        <v>55</v>
      </c>
      <c r="F2792" t="s">
        <v>22</v>
      </c>
      <c r="G2792">
        <v>3</v>
      </c>
      <c r="H2792">
        <v>295</v>
      </c>
      <c r="I2792">
        <f t="shared" si="1182"/>
        <v>885</v>
      </c>
      <c r="J2792" t="s">
        <v>167</v>
      </c>
      <c r="K2792">
        <v>268</v>
      </c>
      <c r="M2792">
        <f t="shared" si="1184"/>
        <v>804</v>
      </c>
      <c r="N2792">
        <f t="shared" si="1185"/>
        <v>81</v>
      </c>
    </row>
    <row r="2793" spans="1:14" x14ac:dyDescent="0.25">
      <c r="A2793">
        <v>268</v>
      </c>
      <c r="B2793" s="1">
        <v>44065</v>
      </c>
      <c r="C2793" t="str">
        <f t="shared" si="1183"/>
        <v>agosto</v>
      </c>
      <c r="D2793" t="s">
        <v>78</v>
      </c>
      <c r="F2793" t="s">
        <v>42</v>
      </c>
      <c r="G2793">
        <v>1</v>
      </c>
      <c r="H2793">
        <v>650</v>
      </c>
      <c r="I2793">
        <f t="shared" si="1182"/>
        <v>650</v>
      </c>
      <c r="J2793" t="s">
        <v>166</v>
      </c>
      <c r="K2793">
        <v>450</v>
      </c>
      <c r="M2793">
        <f t="shared" si="1184"/>
        <v>450</v>
      </c>
      <c r="N2793">
        <f t="shared" si="1185"/>
        <v>200</v>
      </c>
    </row>
    <row r="2794" spans="1:14" x14ac:dyDescent="0.25">
      <c r="A2794">
        <v>269</v>
      </c>
      <c r="B2794" s="1">
        <v>44065</v>
      </c>
      <c r="C2794" t="str">
        <f t="shared" si="1183"/>
        <v>agosto</v>
      </c>
      <c r="D2794" t="s">
        <v>78</v>
      </c>
      <c r="F2794" t="s">
        <v>207</v>
      </c>
      <c r="G2794">
        <v>1</v>
      </c>
      <c r="H2794">
        <v>1000</v>
      </c>
      <c r="I2794">
        <f t="shared" si="1182"/>
        <v>1000</v>
      </c>
      <c r="J2794" t="s">
        <v>198</v>
      </c>
      <c r="K2794">
        <v>750</v>
      </c>
      <c r="M2794">
        <f t="shared" si="1184"/>
        <v>750</v>
      </c>
      <c r="N2794">
        <f t="shared" si="1185"/>
        <v>250</v>
      </c>
    </row>
    <row r="2795" spans="1:14" x14ac:dyDescent="0.25">
      <c r="A2795">
        <v>270</v>
      </c>
      <c r="B2795" s="1">
        <v>44065</v>
      </c>
      <c r="C2795" t="str">
        <f t="shared" si="1183"/>
        <v>agosto</v>
      </c>
      <c r="D2795" t="s">
        <v>15</v>
      </c>
      <c r="F2795" t="s">
        <v>441</v>
      </c>
      <c r="G2795">
        <v>10</v>
      </c>
      <c r="H2795">
        <v>280</v>
      </c>
      <c r="I2795">
        <f t="shared" si="1182"/>
        <v>2800</v>
      </c>
      <c r="J2795" t="s">
        <v>163</v>
      </c>
      <c r="K2795">
        <v>234</v>
      </c>
      <c r="M2795">
        <f t="shared" si="1184"/>
        <v>2340</v>
      </c>
      <c r="N2795">
        <f t="shared" si="1185"/>
        <v>460</v>
      </c>
    </row>
    <row r="2796" spans="1:14" x14ac:dyDescent="0.25">
      <c r="A2796">
        <v>271</v>
      </c>
      <c r="B2796" s="1">
        <v>44065</v>
      </c>
      <c r="C2796" t="str">
        <f t="shared" si="1183"/>
        <v>agosto</v>
      </c>
      <c r="D2796" t="s">
        <v>15</v>
      </c>
      <c r="F2796" t="s">
        <v>357</v>
      </c>
      <c r="G2796">
        <v>11</v>
      </c>
      <c r="H2796">
        <v>240</v>
      </c>
      <c r="I2796">
        <f t="shared" si="1182"/>
        <v>2640</v>
      </c>
      <c r="J2796" t="s">
        <v>167</v>
      </c>
      <c r="K2796">
        <v>207</v>
      </c>
      <c r="M2796">
        <f t="shared" si="1184"/>
        <v>2277</v>
      </c>
      <c r="N2796">
        <f t="shared" si="1185"/>
        <v>363</v>
      </c>
    </row>
    <row r="2797" spans="1:14" x14ac:dyDescent="0.25">
      <c r="A2797">
        <v>272</v>
      </c>
      <c r="B2797" s="1">
        <v>44065</v>
      </c>
      <c r="C2797" t="str">
        <f t="shared" si="1183"/>
        <v>agosto</v>
      </c>
      <c r="D2797" t="s">
        <v>15</v>
      </c>
      <c r="F2797" t="s">
        <v>28</v>
      </c>
      <c r="G2797">
        <v>21</v>
      </c>
      <c r="H2797">
        <v>240</v>
      </c>
      <c r="I2797">
        <f t="shared" si="1182"/>
        <v>5040</v>
      </c>
      <c r="J2797" t="s">
        <v>163</v>
      </c>
      <c r="K2797">
        <v>216</v>
      </c>
      <c r="M2797">
        <f t="shared" si="1184"/>
        <v>4536</v>
      </c>
      <c r="N2797">
        <f t="shared" si="1185"/>
        <v>504</v>
      </c>
    </row>
    <row r="2798" spans="1:14" x14ac:dyDescent="0.25">
      <c r="A2798">
        <v>273</v>
      </c>
      <c r="B2798" s="1">
        <v>44065</v>
      </c>
      <c r="C2798" t="str">
        <f t="shared" si="1183"/>
        <v>agosto</v>
      </c>
      <c r="D2798" t="s">
        <v>25</v>
      </c>
      <c r="F2798" t="s">
        <v>127</v>
      </c>
      <c r="G2798">
        <v>3</v>
      </c>
      <c r="H2798">
        <v>60</v>
      </c>
      <c r="I2798">
        <f t="shared" si="1182"/>
        <v>180</v>
      </c>
      <c r="J2798" t="s">
        <v>165</v>
      </c>
      <c r="K2798">
        <v>33</v>
      </c>
      <c r="M2798">
        <f t="shared" si="1184"/>
        <v>99</v>
      </c>
      <c r="N2798">
        <f t="shared" si="1185"/>
        <v>81</v>
      </c>
    </row>
    <row r="2799" spans="1:14" x14ac:dyDescent="0.25">
      <c r="A2799">
        <v>274</v>
      </c>
      <c r="B2799" s="1">
        <v>44065</v>
      </c>
      <c r="C2799" t="str">
        <f t="shared" si="1183"/>
        <v>agosto</v>
      </c>
      <c r="D2799" t="s">
        <v>15</v>
      </c>
      <c r="F2799" t="s">
        <v>357</v>
      </c>
      <c r="G2799">
        <v>4</v>
      </c>
      <c r="H2799">
        <v>240</v>
      </c>
      <c r="I2799">
        <f t="shared" si="1182"/>
        <v>960</v>
      </c>
      <c r="J2799" t="s">
        <v>167</v>
      </c>
      <c r="K2799">
        <v>207</v>
      </c>
      <c r="M2799">
        <f t="shared" si="1184"/>
        <v>828</v>
      </c>
      <c r="N2799">
        <f t="shared" si="1185"/>
        <v>132</v>
      </c>
    </row>
    <row r="2800" spans="1:14" x14ac:dyDescent="0.25">
      <c r="A2800">
        <v>275</v>
      </c>
      <c r="B2800" s="1">
        <v>44065</v>
      </c>
      <c r="C2800" t="str">
        <f t="shared" si="1183"/>
        <v>agosto</v>
      </c>
      <c r="D2800" t="s">
        <v>15</v>
      </c>
      <c r="F2800" t="s">
        <v>397</v>
      </c>
      <c r="G2800">
        <v>3</v>
      </c>
      <c r="H2800">
        <v>250</v>
      </c>
      <c r="I2800">
        <f t="shared" si="1182"/>
        <v>750</v>
      </c>
      <c r="J2800" t="s">
        <v>167</v>
      </c>
      <c r="K2800">
        <v>219</v>
      </c>
      <c r="M2800">
        <f t="shared" si="1184"/>
        <v>657</v>
      </c>
      <c r="N2800">
        <f t="shared" si="1185"/>
        <v>93</v>
      </c>
    </row>
    <row r="2801" spans="1:14" x14ac:dyDescent="0.25">
      <c r="A2801">
        <v>276</v>
      </c>
      <c r="B2801" s="1">
        <v>44065</v>
      </c>
      <c r="C2801" t="str">
        <f t="shared" si="1183"/>
        <v>agosto</v>
      </c>
      <c r="D2801" t="s">
        <v>15</v>
      </c>
      <c r="F2801" t="s">
        <v>20</v>
      </c>
      <c r="G2801">
        <v>20</v>
      </c>
      <c r="H2801">
        <v>270</v>
      </c>
      <c r="I2801">
        <f t="shared" si="1182"/>
        <v>5400</v>
      </c>
      <c r="J2801" t="s">
        <v>163</v>
      </c>
      <c r="K2801">
        <v>232</v>
      </c>
      <c r="M2801">
        <f t="shared" si="1184"/>
        <v>4640</v>
      </c>
      <c r="N2801">
        <f t="shared" si="1185"/>
        <v>760</v>
      </c>
    </row>
    <row r="2802" spans="1:14" x14ac:dyDescent="0.25">
      <c r="A2802">
        <v>277</v>
      </c>
      <c r="B2802" s="1">
        <v>44065</v>
      </c>
      <c r="C2802" t="str">
        <f t="shared" si="1183"/>
        <v>agosto</v>
      </c>
      <c r="D2802" t="s">
        <v>25</v>
      </c>
      <c r="F2802" t="s">
        <v>127</v>
      </c>
      <c r="G2802">
        <v>1</v>
      </c>
      <c r="H2802">
        <v>60</v>
      </c>
      <c r="I2802">
        <f t="shared" si="1182"/>
        <v>60</v>
      </c>
      <c r="J2802" t="s">
        <v>165</v>
      </c>
      <c r="K2802">
        <v>33</v>
      </c>
      <c r="M2802">
        <f t="shared" si="1184"/>
        <v>33</v>
      </c>
      <c r="N2802">
        <f t="shared" si="1185"/>
        <v>27</v>
      </c>
    </row>
    <row r="2803" spans="1:14" x14ac:dyDescent="0.25">
      <c r="A2803">
        <v>278</v>
      </c>
      <c r="B2803" s="1">
        <v>44067</v>
      </c>
      <c r="C2803" t="str">
        <f t="shared" si="1183"/>
        <v>agosto</v>
      </c>
      <c r="D2803" t="s">
        <v>15</v>
      </c>
      <c r="F2803" t="s">
        <v>312</v>
      </c>
      <c r="G2803">
        <f>5/9</f>
        <v>0.55555555555555558</v>
      </c>
      <c r="H2803">
        <v>300</v>
      </c>
      <c r="I2803">
        <f t="shared" si="1182"/>
        <v>166.66666666666669</v>
      </c>
      <c r="J2803" t="s">
        <v>167</v>
      </c>
      <c r="K2803">
        <v>268</v>
      </c>
      <c r="M2803">
        <f t="shared" si="1184"/>
        <v>148.88888888888889</v>
      </c>
      <c r="N2803">
        <f t="shared" si="1185"/>
        <v>17.7777777777778</v>
      </c>
    </row>
    <row r="2804" spans="1:14" x14ac:dyDescent="0.25">
      <c r="A2804">
        <v>279</v>
      </c>
      <c r="B2804" s="1">
        <v>44067</v>
      </c>
      <c r="C2804" t="str">
        <f t="shared" si="1183"/>
        <v>agosto</v>
      </c>
      <c r="D2804" t="s">
        <v>26</v>
      </c>
      <c r="F2804" t="s">
        <v>47</v>
      </c>
      <c r="G2804">
        <v>8.64</v>
      </c>
      <c r="H2804">
        <v>350</v>
      </c>
      <c r="I2804">
        <f t="shared" si="1182"/>
        <v>3024</v>
      </c>
      <c r="J2804" t="s">
        <v>99</v>
      </c>
      <c r="K2804">
        <v>260</v>
      </c>
      <c r="M2804">
        <f t="shared" si="1184"/>
        <v>2246.4</v>
      </c>
      <c r="N2804">
        <f t="shared" si="1185"/>
        <v>777.59999999999991</v>
      </c>
    </row>
    <row r="2805" spans="1:14" x14ac:dyDescent="0.25">
      <c r="A2805">
        <v>280</v>
      </c>
      <c r="B2805" s="1">
        <v>44067</v>
      </c>
      <c r="C2805" t="str">
        <f t="shared" si="1183"/>
        <v>agosto</v>
      </c>
      <c r="D2805" t="s">
        <v>15</v>
      </c>
      <c r="F2805" t="s">
        <v>359</v>
      </c>
      <c r="G2805">
        <v>4.5</v>
      </c>
      <c r="H2805">
        <v>280</v>
      </c>
      <c r="I2805">
        <f t="shared" si="1182"/>
        <v>1260</v>
      </c>
      <c r="J2805" t="s">
        <v>167</v>
      </c>
      <c r="K2805">
        <v>219</v>
      </c>
      <c r="M2805">
        <f t="shared" si="1184"/>
        <v>985.5</v>
      </c>
      <c r="N2805">
        <f t="shared" si="1185"/>
        <v>274.5</v>
      </c>
    </row>
    <row r="2806" spans="1:14" x14ac:dyDescent="0.25">
      <c r="A2806">
        <v>281</v>
      </c>
      <c r="B2806" s="1">
        <v>44067</v>
      </c>
      <c r="C2806" t="str">
        <f t="shared" si="1183"/>
        <v>agosto</v>
      </c>
      <c r="D2806" t="s">
        <v>55</v>
      </c>
      <c r="F2806" t="s">
        <v>149</v>
      </c>
      <c r="G2806">
        <v>2</v>
      </c>
      <c r="H2806">
        <v>300</v>
      </c>
      <c r="I2806">
        <f t="shared" si="1182"/>
        <v>600</v>
      </c>
      <c r="J2806" t="s">
        <v>167</v>
      </c>
      <c r="K2806">
        <v>268</v>
      </c>
      <c r="M2806">
        <f t="shared" si="1184"/>
        <v>536</v>
      </c>
      <c r="N2806">
        <f t="shared" si="1185"/>
        <v>64</v>
      </c>
    </row>
    <row r="2807" spans="1:14" x14ac:dyDescent="0.25">
      <c r="A2807">
        <v>282</v>
      </c>
      <c r="B2807" s="1">
        <v>44067</v>
      </c>
      <c r="C2807" t="str">
        <f t="shared" si="1183"/>
        <v>agosto</v>
      </c>
      <c r="D2807" t="s">
        <v>44</v>
      </c>
      <c r="F2807" t="s">
        <v>382</v>
      </c>
      <c r="G2807">
        <v>1</v>
      </c>
      <c r="H2807">
        <v>35</v>
      </c>
      <c r="I2807">
        <f t="shared" si="1182"/>
        <v>35</v>
      </c>
      <c r="J2807" t="s">
        <v>166</v>
      </c>
      <c r="K2807">
        <v>22</v>
      </c>
      <c r="M2807">
        <f t="shared" si="1184"/>
        <v>22</v>
      </c>
      <c r="N2807">
        <f t="shared" si="1185"/>
        <v>13</v>
      </c>
    </row>
    <row r="2808" spans="1:14" x14ac:dyDescent="0.25">
      <c r="A2808">
        <v>283</v>
      </c>
      <c r="B2808" s="1">
        <v>44067</v>
      </c>
      <c r="C2808" t="str">
        <f t="shared" si="1183"/>
        <v>agosto</v>
      </c>
      <c r="D2808" t="s">
        <v>15</v>
      </c>
      <c r="F2808" t="s">
        <v>357</v>
      </c>
      <c r="G2808">
        <v>35</v>
      </c>
      <c r="H2808">
        <v>240</v>
      </c>
      <c r="I2808">
        <f t="shared" si="1182"/>
        <v>8400</v>
      </c>
      <c r="J2808" t="s">
        <v>167</v>
      </c>
      <c r="K2808">
        <v>207</v>
      </c>
      <c r="M2808">
        <f t="shared" si="1184"/>
        <v>7245</v>
      </c>
      <c r="N2808">
        <f t="shared" si="1185"/>
        <v>1155</v>
      </c>
    </row>
    <row r="2809" spans="1:14" x14ac:dyDescent="0.25">
      <c r="A2809">
        <v>284</v>
      </c>
      <c r="B2809" s="1">
        <v>44067</v>
      </c>
      <c r="C2809" t="str">
        <f t="shared" si="1183"/>
        <v>agosto</v>
      </c>
      <c r="D2809" t="s">
        <v>15</v>
      </c>
      <c r="F2809" t="s">
        <v>271</v>
      </c>
      <c r="G2809">
        <v>1</v>
      </c>
      <c r="H2809">
        <v>300</v>
      </c>
      <c r="I2809">
        <f t="shared" si="1182"/>
        <v>300</v>
      </c>
      <c r="J2809" t="s">
        <v>167</v>
      </c>
      <c r="K2809">
        <v>268</v>
      </c>
      <c r="M2809">
        <f t="shared" si="1184"/>
        <v>268</v>
      </c>
      <c r="N2809">
        <f t="shared" si="1185"/>
        <v>32</v>
      </c>
    </row>
    <row r="2810" spans="1:14" x14ac:dyDescent="0.25">
      <c r="A2810">
        <v>285</v>
      </c>
      <c r="B2810" s="1">
        <v>44067</v>
      </c>
      <c r="C2810" t="str">
        <f t="shared" si="1183"/>
        <v>agosto</v>
      </c>
      <c r="D2810" t="s">
        <v>15</v>
      </c>
      <c r="F2810" t="s">
        <v>462</v>
      </c>
      <c r="G2810">
        <v>4</v>
      </c>
      <c r="H2810">
        <v>250</v>
      </c>
      <c r="I2810">
        <f t="shared" si="1182"/>
        <v>1000</v>
      </c>
      <c r="J2810" t="s">
        <v>163</v>
      </c>
      <c r="K2810">
        <v>220</v>
      </c>
      <c r="M2810">
        <f t="shared" si="1184"/>
        <v>880</v>
      </c>
      <c r="N2810">
        <f t="shared" si="1185"/>
        <v>120</v>
      </c>
    </row>
    <row r="2811" spans="1:14" x14ac:dyDescent="0.25">
      <c r="A2811">
        <v>286</v>
      </c>
      <c r="B2811" s="1">
        <v>44067</v>
      </c>
      <c r="C2811" t="str">
        <f t="shared" si="1183"/>
        <v>agosto</v>
      </c>
      <c r="D2811" t="s">
        <v>56</v>
      </c>
      <c r="F2811" t="s">
        <v>267</v>
      </c>
      <c r="G2811">
        <v>2</v>
      </c>
      <c r="H2811">
        <v>170</v>
      </c>
      <c r="I2811">
        <f t="shared" ref="I2811:I2874" si="1186">+G2811*H2811</f>
        <v>340</v>
      </c>
      <c r="J2811" t="s">
        <v>163</v>
      </c>
      <c r="K2811">
        <v>123</v>
      </c>
      <c r="M2811">
        <f t="shared" si="1184"/>
        <v>246</v>
      </c>
      <c r="N2811">
        <f t="shared" si="1185"/>
        <v>94</v>
      </c>
    </row>
    <row r="2812" spans="1:14" x14ac:dyDescent="0.25">
      <c r="A2812">
        <v>287</v>
      </c>
      <c r="B2812" s="1">
        <v>44067</v>
      </c>
      <c r="C2812" t="str">
        <f t="shared" si="1183"/>
        <v>agosto</v>
      </c>
      <c r="D2812" t="s">
        <v>15</v>
      </c>
      <c r="F2812" t="s">
        <v>388</v>
      </c>
      <c r="G2812">
        <v>3</v>
      </c>
      <c r="H2812">
        <v>260</v>
      </c>
      <c r="I2812">
        <f t="shared" si="1186"/>
        <v>780</v>
      </c>
      <c r="J2812" t="s">
        <v>163</v>
      </c>
      <c r="K2812">
        <v>205</v>
      </c>
      <c r="M2812">
        <f t="shared" si="1184"/>
        <v>615</v>
      </c>
      <c r="N2812">
        <f t="shared" si="1185"/>
        <v>165</v>
      </c>
    </row>
    <row r="2813" spans="1:14" x14ac:dyDescent="0.25">
      <c r="A2813">
        <v>288</v>
      </c>
      <c r="B2813" s="1">
        <v>44067</v>
      </c>
      <c r="C2813" t="str">
        <f t="shared" si="1183"/>
        <v>agosto</v>
      </c>
      <c r="D2813" t="s">
        <v>15</v>
      </c>
      <c r="F2813" t="s">
        <v>29</v>
      </c>
      <c r="G2813">
        <v>28</v>
      </c>
      <c r="H2813">
        <v>240</v>
      </c>
      <c r="I2813">
        <f t="shared" si="1186"/>
        <v>6720</v>
      </c>
      <c r="J2813" t="s">
        <v>163</v>
      </c>
      <c r="K2813">
        <v>211</v>
      </c>
      <c r="M2813">
        <f t="shared" si="1184"/>
        <v>5908</v>
      </c>
      <c r="N2813">
        <f t="shared" si="1185"/>
        <v>812</v>
      </c>
    </row>
    <row r="2814" spans="1:14" x14ac:dyDescent="0.25">
      <c r="A2814">
        <v>289</v>
      </c>
      <c r="B2814" s="1">
        <v>44068</v>
      </c>
      <c r="C2814" t="str">
        <f t="shared" si="1183"/>
        <v>agosto</v>
      </c>
      <c r="D2814" t="s">
        <v>15</v>
      </c>
      <c r="F2814" t="s">
        <v>89</v>
      </c>
      <c r="G2814">
        <f>8/17</f>
        <v>0.47058823529411764</v>
      </c>
      <c r="H2814">
        <v>300</v>
      </c>
      <c r="I2814">
        <f t="shared" si="1186"/>
        <v>141.1764705882353</v>
      </c>
      <c r="J2814" t="s">
        <v>167</v>
      </c>
      <c r="K2814">
        <v>268</v>
      </c>
      <c r="M2814">
        <f t="shared" si="1184"/>
        <v>126.11764705882352</v>
      </c>
      <c r="N2814">
        <f t="shared" si="1185"/>
        <v>15.058823529411782</v>
      </c>
    </row>
    <row r="2815" spans="1:14" x14ac:dyDescent="0.25">
      <c r="A2815">
        <v>290</v>
      </c>
      <c r="B2815" s="1">
        <v>44068</v>
      </c>
      <c r="C2815" t="str">
        <f t="shared" si="1183"/>
        <v>agosto</v>
      </c>
      <c r="D2815" t="s">
        <v>25</v>
      </c>
      <c r="F2815" t="s">
        <v>127</v>
      </c>
      <c r="G2815">
        <v>1</v>
      </c>
      <c r="H2815">
        <v>60</v>
      </c>
      <c r="I2815">
        <f t="shared" si="1186"/>
        <v>60</v>
      </c>
      <c r="J2815" t="s">
        <v>165</v>
      </c>
      <c r="K2815">
        <v>33</v>
      </c>
      <c r="M2815">
        <f t="shared" si="1184"/>
        <v>33</v>
      </c>
      <c r="N2815">
        <f t="shared" si="1185"/>
        <v>27</v>
      </c>
    </row>
    <row r="2816" spans="1:14" x14ac:dyDescent="0.25">
      <c r="A2816">
        <v>291</v>
      </c>
      <c r="B2816" s="1">
        <v>44068</v>
      </c>
      <c r="C2816" t="str">
        <f t="shared" si="1183"/>
        <v>agosto</v>
      </c>
      <c r="D2816" t="s">
        <v>56</v>
      </c>
      <c r="F2816" t="s">
        <v>38</v>
      </c>
      <c r="G2816">
        <v>1</v>
      </c>
      <c r="H2816">
        <v>100</v>
      </c>
      <c r="I2816">
        <f t="shared" si="1186"/>
        <v>100</v>
      </c>
      <c r="J2816" t="s">
        <v>164</v>
      </c>
      <c r="K2816">
        <v>80</v>
      </c>
      <c r="M2816">
        <f t="shared" si="1184"/>
        <v>80</v>
      </c>
      <c r="N2816">
        <f t="shared" si="1185"/>
        <v>20</v>
      </c>
    </row>
    <row r="2817" spans="1:14" x14ac:dyDescent="0.25">
      <c r="A2817">
        <v>292</v>
      </c>
      <c r="B2817" s="1">
        <v>44068</v>
      </c>
      <c r="C2817" t="str">
        <f t="shared" si="1183"/>
        <v>agosto</v>
      </c>
      <c r="D2817" t="s">
        <v>15</v>
      </c>
      <c r="F2817" t="s">
        <v>401</v>
      </c>
      <c r="G2817">
        <v>2</v>
      </c>
      <c r="H2817">
        <v>295</v>
      </c>
      <c r="I2817">
        <f t="shared" si="1186"/>
        <v>590</v>
      </c>
      <c r="J2817" t="s">
        <v>167</v>
      </c>
      <c r="K2817">
        <v>268</v>
      </c>
      <c r="M2817">
        <f t="shared" si="1184"/>
        <v>536</v>
      </c>
      <c r="N2817">
        <f t="shared" si="1185"/>
        <v>54</v>
      </c>
    </row>
    <row r="2818" spans="1:14" x14ac:dyDescent="0.25">
      <c r="A2818">
        <v>293</v>
      </c>
      <c r="B2818" s="1">
        <v>44068</v>
      </c>
      <c r="C2818" t="str">
        <f t="shared" si="1183"/>
        <v>agosto</v>
      </c>
      <c r="D2818" t="s">
        <v>56</v>
      </c>
      <c r="F2818" t="s">
        <v>267</v>
      </c>
      <c r="G2818">
        <v>1</v>
      </c>
      <c r="H2818">
        <v>170</v>
      </c>
      <c r="I2818">
        <f t="shared" si="1186"/>
        <v>170</v>
      </c>
      <c r="J2818" t="s">
        <v>163</v>
      </c>
      <c r="K2818">
        <v>123</v>
      </c>
      <c r="M2818">
        <f t="shared" si="1184"/>
        <v>123</v>
      </c>
      <c r="N2818">
        <f t="shared" si="1185"/>
        <v>47</v>
      </c>
    </row>
    <row r="2819" spans="1:14" x14ac:dyDescent="0.25">
      <c r="A2819">
        <v>294</v>
      </c>
      <c r="B2819" s="1">
        <v>44068</v>
      </c>
      <c r="C2819" t="str">
        <f t="shared" si="1183"/>
        <v>agosto</v>
      </c>
      <c r="D2819" t="s">
        <v>44</v>
      </c>
      <c r="F2819" t="s">
        <v>138</v>
      </c>
      <c r="G2819">
        <v>1</v>
      </c>
      <c r="H2819">
        <v>35</v>
      </c>
      <c r="I2819">
        <f t="shared" si="1186"/>
        <v>35</v>
      </c>
      <c r="J2819" t="s">
        <v>166</v>
      </c>
      <c r="K2819">
        <v>29</v>
      </c>
      <c r="M2819">
        <f t="shared" si="1184"/>
        <v>29</v>
      </c>
      <c r="N2819">
        <f t="shared" si="1185"/>
        <v>6</v>
      </c>
    </row>
    <row r="2820" spans="1:14" x14ac:dyDescent="0.25">
      <c r="A2820">
        <v>295</v>
      </c>
      <c r="B2820" s="1">
        <v>44068</v>
      </c>
      <c r="C2820" t="str">
        <f t="shared" si="1183"/>
        <v>agosto</v>
      </c>
      <c r="D2820" t="s">
        <v>15</v>
      </c>
      <c r="F2820" t="s">
        <v>461</v>
      </c>
      <c r="G2820">
        <v>3</v>
      </c>
      <c r="H2820">
        <v>250</v>
      </c>
      <c r="I2820">
        <f t="shared" si="1186"/>
        <v>750</v>
      </c>
      <c r="J2820" t="s">
        <v>167</v>
      </c>
      <c r="K2820">
        <v>219</v>
      </c>
      <c r="M2820">
        <f t="shared" si="1184"/>
        <v>657</v>
      </c>
      <c r="N2820">
        <f t="shared" si="1185"/>
        <v>93</v>
      </c>
    </row>
    <row r="2821" spans="1:14" x14ac:dyDescent="0.25">
      <c r="A2821">
        <v>296</v>
      </c>
      <c r="B2821" s="1">
        <v>44068</v>
      </c>
      <c r="C2821" t="str">
        <f t="shared" si="1183"/>
        <v>agosto</v>
      </c>
      <c r="D2821" t="s">
        <v>15</v>
      </c>
      <c r="F2821" t="s">
        <v>385</v>
      </c>
      <c r="G2821">
        <v>24</v>
      </c>
      <c r="H2821">
        <v>240</v>
      </c>
      <c r="I2821">
        <f t="shared" si="1186"/>
        <v>5760</v>
      </c>
      <c r="J2821" t="s">
        <v>167</v>
      </c>
      <c r="K2821">
        <v>207</v>
      </c>
      <c r="M2821">
        <f t="shared" si="1184"/>
        <v>4968</v>
      </c>
      <c r="N2821">
        <f t="shared" si="1185"/>
        <v>792</v>
      </c>
    </row>
    <row r="2822" spans="1:14" x14ac:dyDescent="0.25">
      <c r="A2822">
        <v>297</v>
      </c>
      <c r="B2822" s="1">
        <v>44068</v>
      </c>
      <c r="C2822" t="str">
        <f t="shared" si="1183"/>
        <v>agosto</v>
      </c>
      <c r="D2822" t="s">
        <v>85</v>
      </c>
      <c r="F2822" t="s">
        <v>152</v>
      </c>
      <c r="G2822">
        <v>1</v>
      </c>
      <c r="H2822">
        <v>85</v>
      </c>
      <c r="I2822">
        <f t="shared" si="1186"/>
        <v>85</v>
      </c>
      <c r="J2822" t="s">
        <v>163</v>
      </c>
      <c r="K2822">
        <v>70</v>
      </c>
      <c r="M2822">
        <f t="shared" si="1184"/>
        <v>70</v>
      </c>
      <c r="N2822">
        <f t="shared" si="1185"/>
        <v>15</v>
      </c>
    </row>
    <row r="2823" spans="1:14" x14ac:dyDescent="0.25">
      <c r="A2823">
        <v>298</v>
      </c>
      <c r="B2823" s="1">
        <v>44068</v>
      </c>
      <c r="C2823" t="str">
        <f t="shared" si="1183"/>
        <v>agosto</v>
      </c>
      <c r="D2823" t="s">
        <v>55</v>
      </c>
      <c r="F2823" t="s">
        <v>457</v>
      </c>
      <c r="G2823">
        <v>3</v>
      </c>
      <c r="H2823">
        <v>270</v>
      </c>
      <c r="I2823">
        <f t="shared" si="1186"/>
        <v>810</v>
      </c>
      <c r="J2823" t="s">
        <v>167</v>
      </c>
      <c r="K2823">
        <v>207</v>
      </c>
      <c r="M2823">
        <f t="shared" si="1184"/>
        <v>621</v>
      </c>
      <c r="N2823">
        <f t="shared" si="1185"/>
        <v>189</v>
      </c>
    </row>
    <row r="2824" spans="1:14" x14ac:dyDescent="0.25">
      <c r="A2824">
        <v>299</v>
      </c>
      <c r="B2824" s="1">
        <v>44068</v>
      </c>
      <c r="C2824" t="str">
        <f t="shared" si="1183"/>
        <v>agosto</v>
      </c>
      <c r="D2824" t="s">
        <v>55</v>
      </c>
      <c r="F2824" t="s">
        <v>399</v>
      </c>
      <c r="G2824">
        <f>11/17</f>
        <v>0.6470588235294118</v>
      </c>
      <c r="H2824">
        <v>300</v>
      </c>
      <c r="I2824">
        <f t="shared" si="1186"/>
        <v>194.11764705882354</v>
      </c>
      <c r="J2824" t="s">
        <v>167</v>
      </c>
      <c r="K2824">
        <v>268</v>
      </c>
      <c r="M2824">
        <f t="shared" si="1184"/>
        <v>173.41176470588235</v>
      </c>
      <c r="N2824">
        <f t="shared" si="1185"/>
        <v>20.705882352941188</v>
      </c>
    </row>
    <row r="2825" spans="1:14" x14ac:dyDescent="0.25">
      <c r="A2825">
        <v>300</v>
      </c>
      <c r="B2825" s="1">
        <v>44068</v>
      </c>
      <c r="C2825" t="str">
        <f t="shared" si="1183"/>
        <v>agosto</v>
      </c>
      <c r="D2825" t="s">
        <v>26</v>
      </c>
      <c r="F2825" t="s">
        <v>47</v>
      </c>
      <c r="G2825">
        <v>18.05</v>
      </c>
      <c r="H2825">
        <v>350</v>
      </c>
      <c r="I2825">
        <f t="shared" si="1186"/>
        <v>6317.5</v>
      </c>
      <c r="J2825" t="s">
        <v>99</v>
      </c>
      <c r="K2825">
        <v>260</v>
      </c>
      <c r="M2825">
        <f t="shared" si="1184"/>
        <v>4693</v>
      </c>
      <c r="N2825">
        <f t="shared" si="1185"/>
        <v>1624.5</v>
      </c>
    </row>
    <row r="2826" spans="1:14" x14ac:dyDescent="0.25">
      <c r="A2826">
        <v>301</v>
      </c>
      <c r="B2826" s="1">
        <v>44068</v>
      </c>
      <c r="C2826" t="str">
        <f t="shared" si="1183"/>
        <v>agosto</v>
      </c>
      <c r="D2826" t="s">
        <v>56</v>
      </c>
      <c r="F2826" t="s">
        <v>176</v>
      </c>
      <c r="G2826">
        <v>10</v>
      </c>
      <c r="H2826">
        <v>260</v>
      </c>
      <c r="I2826">
        <f t="shared" si="1186"/>
        <v>2600</v>
      </c>
      <c r="J2826" t="s">
        <v>163</v>
      </c>
      <c r="K2826">
        <v>200</v>
      </c>
      <c r="M2826">
        <f t="shared" si="1184"/>
        <v>2000</v>
      </c>
      <c r="N2826">
        <f t="shared" si="1185"/>
        <v>600</v>
      </c>
    </row>
    <row r="2827" spans="1:14" x14ac:dyDescent="0.25">
      <c r="A2827">
        <v>302</v>
      </c>
      <c r="B2827" s="1">
        <v>44068</v>
      </c>
      <c r="C2827" t="str">
        <f t="shared" si="1183"/>
        <v>agosto</v>
      </c>
      <c r="D2827" t="s">
        <v>44</v>
      </c>
      <c r="F2827" t="s">
        <v>138</v>
      </c>
      <c r="G2827">
        <v>1</v>
      </c>
      <c r="H2827">
        <v>35</v>
      </c>
      <c r="I2827">
        <f t="shared" si="1186"/>
        <v>35</v>
      </c>
      <c r="J2827" t="s">
        <v>166</v>
      </c>
      <c r="K2827">
        <v>29</v>
      </c>
      <c r="M2827">
        <f t="shared" si="1184"/>
        <v>29</v>
      </c>
      <c r="N2827">
        <f t="shared" si="1185"/>
        <v>6</v>
      </c>
    </row>
    <row r="2828" spans="1:14" x14ac:dyDescent="0.25">
      <c r="A2828">
        <v>303</v>
      </c>
      <c r="B2828" s="1">
        <v>44068</v>
      </c>
      <c r="C2828" t="str">
        <f t="shared" si="1183"/>
        <v>agosto</v>
      </c>
      <c r="D2828" t="s">
        <v>15</v>
      </c>
      <c r="F2828" t="s">
        <v>427</v>
      </c>
      <c r="G2828">
        <v>1</v>
      </c>
      <c r="H2828">
        <v>230</v>
      </c>
      <c r="I2828">
        <f t="shared" si="1186"/>
        <v>230</v>
      </c>
      <c r="J2828" t="s">
        <v>167</v>
      </c>
      <c r="K2828">
        <v>207</v>
      </c>
      <c r="M2828">
        <f t="shared" si="1184"/>
        <v>207</v>
      </c>
      <c r="N2828">
        <f t="shared" si="1185"/>
        <v>23</v>
      </c>
    </row>
    <row r="2829" spans="1:14" x14ac:dyDescent="0.25">
      <c r="A2829">
        <v>304</v>
      </c>
      <c r="B2829" s="1">
        <v>44068</v>
      </c>
      <c r="C2829" t="str">
        <f t="shared" si="1183"/>
        <v>agosto</v>
      </c>
      <c r="D2829" t="s">
        <v>26</v>
      </c>
      <c r="F2829" t="s">
        <v>47</v>
      </c>
      <c r="G2829">
        <v>38</v>
      </c>
      <c r="H2829">
        <v>350</v>
      </c>
      <c r="I2829">
        <f t="shared" si="1186"/>
        <v>13300</v>
      </c>
      <c r="J2829" t="s">
        <v>99</v>
      </c>
      <c r="K2829">
        <v>260</v>
      </c>
      <c r="M2829">
        <f t="shared" si="1184"/>
        <v>9880</v>
      </c>
      <c r="N2829">
        <f t="shared" si="1185"/>
        <v>3420</v>
      </c>
    </row>
    <row r="2830" spans="1:14" x14ac:dyDescent="0.25">
      <c r="A2830">
        <v>305</v>
      </c>
      <c r="B2830" s="1">
        <v>44069</v>
      </c>
      <c r="C2830" t="str">
        <f t="shared" si="1183"/>
        <v>agosto</v>
      </c>
      <c r="D2830" t="s">
        <v>70</v>
      </c>
      <c r="F2830" t="s">
        <v>469</v>
      </c>
      <c r="G2830">
        <v>1</v>
      </c>
      <c r="H2830">
        <v>250</v>
      </c>
      <c r="I2830">
        <f t="shared" si="1186"/>
        <v>250</v>
      </c>
      <c r="J2830" t="s">
        <v>167</v>
      </c>
      <c r="K2830">
        <v>0</v>
      </c>
      <c r="M2830" t="str">
        <f t="shared" si="1184"/>
        <v/>
      </c>
      <c r="N2830" t="str">
        <f t="shared" si="1185"/>
        <v/>
      </c>
    </row>
    <row r="2831" spans="1:14" x14ac:dyDescent="0.25">
      <c r="A2831">
        <v>306</v>
      </c>
      <c r="B2831" s="1">
        <v>44069</v>
      </c>
      <c r="C2831" t="str">
        <f t="shared" si="1183"/>
        <v>agosto</v>
      </c>
      <c r="D2831" t="s">
        <v>55</v>
      </c>
      <c r="F2831" t="s">
        <v>149</v>
      </c>
      <c r="G2831">
        <v>1</v>
      </c>
      <c r="H2831">
        <v>300</v>
      </c>
      <c r="I2831">
        <f t="shared" si="1186"/>
        <v>300</v>
      </c>
      <c r="J2831" t="s">
        <v>167</v>
      </c>
      <c r="K2831">
        <v>268</v>
      </c>
      <c r="M2831">
        <f t="shared" si="1184"/>
        <v>268</v>
      </c>
      <c r="N2831">
        <f t="shared" si="1185"/>
        <v>32</v>
      </c>
    </row>
    <row r="2832" spans="1:14" x14ac:dyDescent="0.25">
      <c r="A2832">
        <v>307</v>
      </c>
      <c r="B2832" s="1">
        <v>44069</v>
      </c>
      <c r="C2832" t="str">
        <f t="shared" si="1183"/>
        <v>agosto</v>
      </c>
      <c r="D2832" t="s">
        <v>25</v>
      </c>
      <c r="F2832" t="s">
        <v>83</v>
      </c>
      <c r="G2832">
        <v>2</v>
      </c>
      <c r="H2832">
        <v>60</v>
      </c>
      <c r="I2832">
        <f t="shared" si="1186"/>
        <v>120</v>
      </c>
      <c r="J2832" t="s">
        <v>165</v>
      </c>
      <c r="K2832">
        <v>33</v>
      </c>
      <c r="M2832">
        <f t="shared" si="1184"/>
        <v>66</v>
      </c>
      <c r="N2832">
        <f t="shared" si="1185"/>
        <v>54</v>
      </c>
    </row>
    <row r="2833" spans="1:14" x14ac:dyDescent="0.25">
      <c r="A2833">
        <v>308</v>
      </c>
      <c r="B2833" s="1">
        <v>44069</v>
      </c>
      <c r="C2833" t="str">
        <f t="shared" si="1183"/>
        <v>agosto</v>
      </c>
      <c r="D2833" t="s">
        <v>55</v>
      </c>
      <c r="F2833" t="s">
        <v>457</v>
      </c>
      <c r="G2833">
        <f>8/16</f>
        <v>0.5</v>
      </c>
      <c r="H2833">
        <v>270</v>
      </c>
      <c r="I2833">
        <f t="shared" si="1186"/>
        <v>135</v>
      </c>
      <c r="J2833" t="s">
        <v>167</v>
      </c>
      <c r="K2833">
        <v>207</v>
      </c>
      <c r="M2833">
        <f t="shared" si="1184"/>
        <v>103.5</v>
      </c>
      <c r="N2833">
        <f t="shared" si="1185"/>
        <v>31.5</v>
      </c>
    </row>
    <row r="2834" spans="1:14" x14ac:dyDescent="0.25">
      <c r="A2834">
        <v>309</v>
      </c>
      <c r="B2834" s="1">
        <v>44069</v>
      </c>
      <c r="C2834" t="str">
        <f t="shared" si="1183"/>
        <v>agosto</v>
      </c>
      <c r="D2834" t="s">
        <v>55</v>
      </c>
      <c r="F2834" t="s">
        <v>149</v>
      </c>
      <c r="G2834">
        <v>3</v>
      </c>
      <c r="H2834">
        <v>300</v>
      </c>
      <c r="I2834">
        <f t="shared" si="1186"/>
        <v>900</v>
      </c>
      <c r="J2834" t="s">
        <v>167</v>
      </c>
      <c r="K2834">
        <v>268</v>
      </c>
      <c r="M2834">
        <f t="shared" si="1184"/>
        <v>804</v>
      </c>
      <c r="N2834">
        <f t="shared" si="1185"/>
        <v>96</v>
      </c>
    </row>
    <row r="2835" spans="1:14" x14ac:dyDescent="0.25">
      <c r="A2835">
        <v>310</v>
      </c>
      <c r="B2835" s="1">
        <v>44069</v>
      </c>
      <c r="C2835" t="str">
        <f t="shared" si="1183"/>
        <v>agosto</v>
      </c>
      <c r="D2835" t="s">
        <v>15</v>
      </c>
      <c r="F2835" t="s">
        <v>397</v>
      </c>
      <c r="G2835">
        <v>2</v>
      </c>
      <c r="H2835">
        <v>250</v>
      </c>
      <c r="I2835">
        <f t="shared" si="1186"/>
        <v>500</v>
      </c>
      <c r="J2835" t="s">
        <v>167</v>
      </c>
      <c r="K2835">
        <v>219</v>
      </c>
      <c r="M2835">
        <f t="shared" si="1184"/>
        <v>438</v>
      </c>
      <c r="N2835">
        <f t="shared" si="1185"/>
        <v>62</v>
      </c>
    </row>
    <row r="2836" spans="1:14" x14ac:dyDescent="0.25">
      <c r="A2836">
        <v>311</v>
      </c>
      <c r="B2836" s="1">
        <v>44069</v>
      </c>
      <c r="C2836" t="str">
        <f t="shared" si="1183"/>
        <v>agosto</v>
      </c>
      <c r="D2836" t="s">
        <v>15</v>
      </c>
      <c r="F2836" t="s">
        <v>29</v>
      </c>
      <c r="G2836">
        <v>43</v>
      </c>
      <c r="H2836">
        <v>240</v>
      </c>
      <c r="I2836">
        <f t="shared" si="1186"/>
        <v>10320</v>
      </c>
      <c r="J2836" t="s">
        <v>163</v>
      </c>
      <c r="K2836">
        <v>211</v>
      </c>
      <c r="M2836">
        <f t="shared" si="1184"/>
        <v>9073</v>
      </c>
      <c r="N2836">
        <f t="shared" si="1185"/>
        <v>1247</v>
      </c>
    </row>
    <row r="2837" spans="1:14" x14ac:dyDescent="0.25">
      <c r="A2837">
        <v>312</v>
      </c>
      <c r="B2837" s="1">
        <v>44069</v>
      </c>
      <c r="C2837" t="str">
        <f t="shared" si="1183"/>
        <v>agosto</v>
      </c>
      <c r="D2837" t="s">
        <v>55</v>
      </c>
      <c r="F2837" t="s">
        <v>247</v>
      </c>
      <c r="G2837">
        <f>3/17</f>
        <v>0.17647058823529413</v>
      </c>
      <c r="H2837">
        <v>300</v>
      </c>
      <c r="I2837">
        <f t="shared" si="1186"/>
        <v>52.941176470588239</v>
      </c>
      <c r="J2837" t="s">
        <v>167</v>
      </c>
      <c r="K2837">
        <v>268</v>
      </c>
      <c r="M2837">
        <f t="shared" si="1184"/>
        <v>47.294117647058826</v>
      </c>
      <c r="N2837">
        <f t="shared" si="1185"/>
        <v>5.647058823529413</v>
      </c>
    </row>
    <row r="2838" spans="1:14" x14ac:dyDescent="0.25">
      <c r="A2838">
        <v>313</v>
      </c>
      <c r="B2838" s="1">
        <v>44069</v>
      </c>
      <c r="C2838" t="str">
        <f t="shared" si="1183"/>
        <v>agosto</v>
      </c>
      <c r="D2838" t="s">
        <v>23</v>
      </c>
      <c r="F2838" t="s">
        <v>215</v>
      </c>
      <c r="G2838">
        <v>1</v>
      </c>
      <c r="H2838">
        <v>35</v>
      </c>
      <c r="I2838">
        <f t="shared" si="1186"/>
        <v>35</v>
      </c>
      <c r="J2838" t="s">
        <v>187</v>
      </c>
      <c r="K2838">
        <v>25</v>
      </c>
      <c r="M2838">
        <f t="shared" si="1184"/>
        <v>25</v>
      </c>
      <c r="N2838">
        <f t="shared" si="1185"/>
        <v>10</v>
      </c>
    </row>
    <row r="2839" spans="1:14" x14ac:dyDescent="0.25">
      <c r="A2839">
        <v>314</v>
      </c>
      <c r="B2839" s="1">
        <v>44069</v>
      </c>
      <c r="C2839" t="str">
        <f t="shared" si="1183"/>
        <v>agosto</v>
      </c>
      <c r="D2839" t="s">
        <v>15</v>
      </c>
      <c r="F2839" t="s">
        <v>153</v>
      </c>
      <c r="G2839">
        <f>1/9</f>
        <v>0.1111111111111111</v>
      </c>
      <c r="H2839">
        <v>270</v>
      </c>
      <c r="I2839">
        <f t="shared" si="1186"/>
        <v>30</v>
      </c>
      <c r="J2839" t="s">
        <v>163</v>
      </c>
      <c r="K2839">
        <v>220</v>
      </c>
      <c r="M2839">
        <f t="shared" si="1184"/>
        <v>24.444444444444443</v>
      </c>
      <c r="N2839">
        <f t="shared" si="1185"/>
        <v>5.5555555555555571</v>
      </c>
    </row>
    <row r="2840" spans="1:14" x14ac:dyDescent="0.25">
      <c r="A2840">
        <v>315</v>
      </c>
      <c r="B2840" s="1">
        <v>44069</v>
      </c>
      <c r="C2840" t="str">
        <f t="shared" si="1183"/>
        <v>agosto</v>
      </c>
      <c r="D2840" t="s">
        <v>55</v>
      </c>
      <c r="F2840" t="s">
        <v>111</v>
      </c>
      <c r="G2840">
        <v>1</v>
      </c>
      <c r="H2840">
        <v>300</v>
      </c>
      <c r="I2840">
        <f t="shared" si="1186"/>
        <v>300</v>
      </c>
      <c r="J2840" t="s">
        <v>167</v>
      </c>
      <c r="K2840">
        <v>268</v>
      </c>
      <c r="M2840">
        <f t="shared" si="1184"/>
        <v>268</v>
      </c>
      <c r="N2840">
        <f t="shared" si="1185"/>
        <v>32</v>
      </c>
    </row>
    <row r="2841" spans="1:14" x14ac:dyDescent="0.25">
      <c r="A2841">
        <v>316</v>
      </c>
      <c r="B2841" s="1">
        <v>44070</v>
      </c>
      <c r="C2841" t="str">
        <f t="shared" si="1183"/>
        <v>agosto</v>
      </c>
      <c r="D2841" t="s">
        <v>15</v>
      </c>
      <c r="F2841" t="s">
        <v>17</v>
      </c>
      <c r="G2841">
        <f>5/6*1.22</f>
        <v>1.0166666666666666</v>
      </c>
      <c r="H2841">
        <v>360</v>
      </c>
      <c r="I2841">
        <f t="shared" si="1186"/>
        <v>366</v>
      </c>
      <c r="J2841" t="s">
        <v>167</v>
      </c>
      <c r="K2841">
        <v>306</v>
      </c>
      <c r="M2841">
        <f t="shared" si="1184"/>
        <v>311.09999999999997</v>
      </c>
      <c r="N2841">
        <f t="shared" si="1185"/>
        <v>54.900000000000034</v>
      </c>
    </row>
    <row r="2842" spans="1:14" x14ac:dyDescent="0.25">
      <c r="A2842">
        <v>317</v>
      </c>
      <c r="B2842" s="1">
        <v>44070</v>
      </c>
      <c r="C2842" t="str">
        <f t="shared" si="1183"/>
        <v>agosto</v>
      </c>
      <c r="D2842" t="s">
        <v>56</v>
      </c>
      <c r="F2842" t="s">
        <v>267</v>
      </c>
      <c r="G2842">
        <v>1</v>
      </c>
      <c r="H2842">
        <v>170</v>
      </c>
      <c r="I2842">
        <f t="shared" si="1186"/>
        <v>170</v>
      </c>
      <c r="J2842" t="s">
        <v>163</v>
      </c>
      <c r="K2842">
        <v>123</v>
      </c>
      <c r="M2842">
        <f t="shared" si="1184"/>
        <v>123</v>
      </c>
      <c r="N2842">
        <f t="shared" si="1185"/>
        <v>47</v>
      </c>
    </row>
    <row r="2843" spans="1:14" x14ac:dyDescent="0.25">
      <c r="A2843">
        <v>318</v>
      </c>
      <c r="B2843" s="1">
        <v>44070</v>
      </c>
      <c r="C2843" t="str">
        <f t="shared" si="1183"/>
        <v>agosto</v>
      </c>
      <c r="D2843" t="s">
        <v>25</v>
      </c>
      <c r="F2843" t="s">
        <v>72</v>
      </c>
      <c r="G2843">
        <v>1</v>
      </c>
      <c r="H2843">
        <v>60</v>
      </c>
      <c r="I2843">
        <f t="shared" si="1186"/>
        <v>60</v>
      </c>
      <c r="J2843" t="s">
        <v>165</v>
      </c>
      <c r="K2843">
        <v>33</v>
      </c>
      <c r="M2843">
        <f t="shared" si="1184"/>
        <v>33</v>
      </c>
      <c r="N2843">
        <f t="shared" si="1185"/>
        <v>27</v>
      </c>
    </row>
    <row r="2844" spans="1:14" x14ac:dyDescent="0.25">
      <c r="A2844">
        <v>319</v>
      </c>
      <c r="B2844" s="1">
        <v>44070</v>
      </c>
      <c r="C2844" t="str">
        <f t="shared" si="1183"/>
        <v>agosto</v>
      </c>
      <c r="D2844" t="s">
        <v>15</v>
      </c>
      <c r="F2844" t="s">
        <v>29</v>
      </c>
      <c r="G2844">
        <v>0.625</v>
      </c>
      <c r="H2844">
        <v>240</v>
      </c>
      <c r="I2844">
        <f t="shared" si="1186"/>
        <v>150</v>
      </c>
      <c r="J2844" t="s">
        <v>163</v>
      </c>
      <c r="K2844">
        <v>211</v>
      </c>
      <c r="M2844">
        <f t="shared" si="1184"/>
        <v>131.875</v>
      </c>
      <c r="N2844">
        <f t="shared" si="1185"/>
        <v>18.125</v>
      </c>
    </row>
    <row r="2845" spans="1:14" x14ac:dyDescent="0.25">
      <c r="A2845">
        <v>320</v>
      </c>
      <c r="B2845" s="1">
        <v>44070</v>
      </c>
      <c r="C2845" t="str">
        <f t="shared" si="1183"/>
        <v>agosto</v>
      </c>
      <c r="D2845" t="s">
        <v>44</v>
      </c>
      <c r="F2845" t="s">
        <v>138</v>
      </c>
      <c r="G2845">
        <v>1</v>
      </c>
      <c r="H2845">
        <v>35</v>
      </c>
      <c r="I2845">
        <f t="shared" si="1186"/>
        <v>35</v>
      </c>
      <c r="J2845" t="s">
        <v>166</v>
      </c>
      <c r="K2845">
        <v>29</v>
      </c>
      <c r="M2845">
        <f t="shared" si="1184"/>
        <v>29</v>
      </c>
      <c r="N2845">
        <f t="shared" si="1185"/>
        <v>6</v>
      </c>
    </row>
    <row r="2846" spans="1:14" x14ac:dyDescent="0.25">
      <c r="A2846">
        <v>321</v>
      </c>
      <c r="B2846" s="1">
        <v>44070</v>
      </c>
      <c r="C2846" t="str">
        <f t="shared" ref="C2846:C2909" si="1187">+TEXT(B2846,"mmmm")</f>
        <v>agosto</v>
      </c>
      <c r="D2846" t="s">
        <v>15</v>
      </c>
      <c r="F2846" t="s">
        <v>29</v>
      </c>
      <c r="G2846">
        <f>6/9</f>
        <v>0.66666666666666663</v>
      </c>
      <c r="H2846">
        <v>240</v>
      </c>
      <c r="I2846">
        <f t="shared" si="1186"/>
        <v>160</v>
      </c>
      <c r="J2846" t="s">
        <v>163</v>
      </c>
      <c r="K2846">
        <v>211</v>
      </c>
      <c r="M2846">
        <f t="shared" ref="M2846:M2881" si="1188">+IF(K2846=0,(""),(K2846*G2846))</f>
        <v>140.66666666666666</v>
      </c>
      <c r="N2846">
        <f t="shared" ref="N2846:N2881" si="1189">+IF(K2846=0,(""),(I2846-M2846))</f>
        <v>19.333333333333343</v>
      </c>
    </row>
    <row r="2847" spans="1:14" x14ac:dyDescent="0.25">
      <c r="A2847">
        <v>322</v>
      </c>
      <c r="B2847" s="1">
        <v>44071</v>
      </c>
      <c r="C2847" t="str">
        <f t="shared" si="1187"/>
        <v>agosto</v>
      </c>
      <c r="D2847" t="s">
        <v>55</v>
      </c>
      <c r="F2847" t="s">
        <v>457</v>
      </c>
      <c r="G2847">
        <v>10</v>
      </c>
      <c r="H2847">
        <v>270</v>
      </c>
      <c r="I2847">
        <f t="shared" si="1186"/>
        <v>2700</v>
      </c>
      <c r="J2847" t="s">
        <v>167</v>
      </c>
      <c r="K2847">
        <v>207</v>
      </c>
      <c r="M2847">
        <f t="shared" si="1188"/>
        <v>2070</v>
      </c>
      <c r="N2847">
        <f t="shared" si="1189"/>
        <v>630</v>
      </c>
    </row>
    <row r="2848" spans="1:14" x14ac:dyDescent="0.25">
      <c r="A2848">
        <v>323</v>
      </c>
      <c r="B2848" s="1">
        <v>44071</v>
      </c>
      <c r="C2848" t="str">
        <f t="shared" si="1187"/>
        <v>agosto</v>
      </c>
      <c r="D2848" t="s">
        <v>15</v>
      </c>
      <c r="F2848" t="s">
        <v>21</v>
      </c>
      <c r="G2848">
        <v>2</v>
      </c>
      <c r="H2848">
        <v>300</v>
      </c>
      <c r="I2848">
        <f t="shared" si="1186"/>
        <v>600</v>
      </c>
      <c r="J2848" t="s">
        <v>167</v>
      </c>
      <c r="K2848">
        <v>268</v>
      </c>
      <c r="M2848">
        <f t="shared" si="1188"/>
        <v>536</v>
      </c>
      <c r="N2848">
        <f t="shared" si="1189"/>
        <v>64</v>
      </c>
    </row>
    <row r="2849" spans="1:14" x14ac:dyDescent="0.25">
      <c r="A2849">
        <v>324</v>
      </c>
      <c r="B2849" s="1">
        <v>44071</v>
      </c>
      <c r="C2849" t="str">
        <f t="shared" si="1187"/>
        <v>agosto</v>
      </c>
      <c r="D2849" t="s">
        <v>25</v>
      </c>
      <c r="F2849" t="s">
        <v>127</v>
      </c>
      <c r="G2849">
        <v>2</v>
      </c>
      <c r="H2849">
        <v>60</v>
      </c>
      <c r="I2849">
        <f t="shared" si="1186"/>
        <v>120</v>
      </c>
      <c r="J2849" t="s">
        <v>165</v>
      </c>
      <c r="K2849">
        <v>33</v>
      </c>
      <c r="M2849">
        <f t="shared" si="1188"/>
        <v>66</v>
      </c>
      <c r="N2849">
        <f t="shared" si="1189"/>
        <v>54</v>
      </c>
    </row>
    <row r="2850" spans="1:14" x14ac:dyDescent="0.25">
      <c r="A2850">
        <v>325</v>
      </c>
      <c r="B2850" s="1">
        <v>44071</v>
      </c>
      <c r="C2850" t="str">
        <f t="shared" si="1187"/>
        <v>agosto</v>
      </c>
      <c r="D2850" t="s">
        <v>25</v>
      </c>
      <c r="F2850" t="s">
        <v>137</v>
      </c>
      <c r="G2850">
        <v>1</v>
      </c>
      <c r="H2850">
        <v>60</v>
      </c>
      <c r="I2850">
        <f t="shared" si="1186"/>
        <v>60</v>
      </c>
      <c r="J2850" t="s">
        <v>165</v>
      </c>
      <c r="K2850">
        <v>33</v>
      </c>
      <c r="M2850">
        <f t="shared" si="1188"/>
        <v>33</v>
      </c>
      <c r="N2850">
        <f t="shared" si="1189"/>
        <v>27</v>
      </c>
    </row>
    <row r="2851" spans="1:14" x14ac:dyDescent="0.25">
      <c r="A2851">
        <v>326</v>
      </c>
      <c r="B2851" s="1">
        <v>44071</v>
      </c>
      <c r="C2851" t="str">
        <f t="shared" si="1187"/>
        <v>agosto</v>
      </c>
      <c r="D2851" t="s">
        <v>15</v>
      </c>
      <c r="F2851" t="s">
        <v>359</v>
      </c>
      <c r="G2851">
        <v>2.5</v>
      </c>
      <c r="H2851">
        <v>280</v>
      </c>
      <c r="I2851">
        <f t="shared" si="1186"/>
        <v>700</v>
      </c>
      <c r="J2851" t="s">
        <v>167</v>
      </c>
      <c r="K2851">
        <v>219</v>
      </c>
      <c r="M2851">
        <f t="shared" si="1188"/>
        <v>547.5</v>
      </c>
      <c r="N2851">
        <f t="shared" si="1189"/>
        <v>152.5</v>
      </c>
    </row>
    <row r="2852" spans="1:14" x14ac:dyDescent="0.25">
      <c r="A2852">
        <v>327</v>
      </c>
      <c r="B2852" s="1">
        <v>44071</v>
      </c>
      <c r="C2852" t="str">
        <f t="shared" si="1187"/>
        <v>agosto</v>
      </c>
      <c r="D2852" t="s">
        <v>25</v>
      </c>
      <c r="F2852" t="s">
        <v>130</v>
      </c>
      <c r="G2852">
        <v>1</v>
      </c>
      <c r="H2852">
        <v>60</v>
      </c>
      <c r="I2852">
        <f t="shared" si="1186"/>
        <v>60</v>
      </c>
      <c r="J2852" t="s">
        <v>165</v>
      </c>
      <c r="K2852">
        <v>33</v>
      </c>
      <c r="M2852">
        <f t="shared" si="1188"/>
        <v>33</v>
      </c>
      <c r="N2852">
        <f t="shared" si="1189"/>
        <v>27</v>
      </c>
    </row>
    <row r="2853" spans="1:14" x14ac:dyDescent="0.25">
      <c r="A2853">
        <v>328</v>
      </c>
      <c r="B2853" s="1">
        <v>44071</v>
      </c>
      <c r="C2853" t="str">
        <f t="shared" si="1187"/>
        <v>agosto</v>
      </c>
      <c r="D2853" t="s">
        <v>15</v>
      </c>
      <c r="F2853" t="s">
        <v>312</v>
      </c>
      <c r="G2853">
        <f>3/9</f>
        <v>0.33333333333333331</v>
      </c>
      <c r="H2853">
        <v>300</v>
      </c>
      <c r="I2853">
        <f t="shared" si="1186"/>
        <v>100</v>
      </c>
      <c r="J2853" t="s">
        <v>167</v>
      </c>
      <c r="K2853">
        <v>268</v>
      </c>
      <c r="M2853">
        <f t="shared" si="1188"/>
        <v>89.333333333333329</v>
      </c>
      <c r="N2853">
        <f t="shared" si="1189"/>
        <v>10.666666666666671</v>
      </c>
    </row>
    <row r="2854" spans="1:14" x14ac:dyDescent="0.25">
      <c r="A2854">
        <v>329</v>
      </c>
      <c r="B2854" s="1">
        <v>44071</v>
      </c>
      <c r="C2854" t="str">
        <f t="shared" si="1187"/>
        <v>agosto</v>
      </c>
      <c r="D2854" t="s">
        <v>56</v>
      </c>
      <c r="F2854" t="s">
        <v>267</v>
      </c>
      <c r="G2854">
        <v>2</v>
      </c>
      <c r="H2854">
        <v>170</v>
      </c>
      <c r="I2854">
        <f t="shared" si="1186"/>
        <v>340</v>
      </c>
      <c r="J2854" t="s">
        <v>163</v>
      </c>
      <c r="K2854">
        <v>123</v>
      </c>
      <c r="M2854">
        <f t="shared" si="1188"/>
        <v>246</v>
      </c>
      <c r="N2854">
        <f t="shared" si="1189"/>
        <v>94</v>
      </c>
    </row>
    <row r="2855" spans="1:14" x14ac:dyDescent="0.25">
      <c r="A2855">
        <v>330</v>
      </c>
      <c r="B2855" s="1">
        <v>44071</v>
      </c>
      <c r="C2855" t="str">
        <f t="shared" si="1187"/>
        <v>agosto</v>
      </c>
      <c r="D2855" t="s">
        <v>15</v>
      </c>
      <c r="F2855" t="s">
        <v>346</v>
      </c>
      <c r="G2855">
        <v>5</v>
      </c>
      <c r="H2855">
        <v>250</v>
      </c>
      <c r="I2855">
        <f t="shared" si="1186"/>
        <v>1250</v>
      </c>
      <c r="J2855" t="s">
        <v>167</v>
      </c>
      <c r="K2855">
        <v>219</v>
      </c>
      <c r="M2855">
        <f t="shared" si="1188"/>
        <v>1095</v>
      </c>
      <c r="N2855">
        <f t="shared" si="1189"/>
        <v>155</v>
      </c>
    </row>
    <row r="2856" spans="1:14" x14ac:dyDescent="0.25">
      <c r="A2856">
        <v>331</v>
      </c>
      <c r="B2856" s="1">
        <v>44071</v>
      </c>
      <c r="C2856" t="str">
        <f t="shared" si="1187"/>
        <v>agosto</v>
      </c>
      <c r="D2856" t="s">
        <v>70</v>
      </c>
      <c r="F2856" t="s">
        <v>361</v>
      </c>
      <c r="G2856">
        <v>1</v>
      </c>
      <c r="H2856">
        <v>230</v>
      </c>
      <c r="I2856">
        <f t="shared" si="1186"/>
        <v>230</v>
      </c>
      <c r="J2856" t="s">
        <v>198</v>
      </c>
      <c r="K2856">
        <v>150</v>
      </c>
      <c r="M2856">
        <f t="shared" si="1188"/>
        <v>150</v>
      </c>
      <c r="N2856">
        <f t="shared" si="1189"/>
        <v>80</v>
      </c>
    </row>
    <row r="2857" spans="1:14" x14ac:dyDescent="0.25">
      <c r="A2857">
        <v>332</v>
      </c>
      <c r="B2857" s="1">
        <v>44071</v>
      </c>
      <c r="C2857" t="str">
        <f t="shared" si="1187"/>
        <v>agosto</v>
      </c>
      <c r="D2857" t="s">
        <v>26</v>
      </c>
      <c r="F2857" t="s">
        <v>47</v>
      </c>
      <c r="G2857">
        <v>11.91</v>
      </c>
      <c r="H2857">
        <v>350</v>
      </c>
      <c r="I2857">
        <f t="shared" si="1186"/>
        <v>4168.5</v>
      </c>
      <c r="J2857" t="s">
        <v>99</v>
      </c>
      <c r="K2857">
        <v>260</v>
      </c>
      <c r="M2857">
        <f t="shared" si="1188"/>
        <v>3096.6</v>
      </c>
      <c r="N2857">
        <f t="shared" si="1189"/>
        <v>1071.9000000000001</v>
      </c>
    </row>
    <row r="2858" spans="1:14" x14ac:dyDescent="0.25">
      <c r="A2858">
        <v>333</v>
      </c>
      <c r="B2858" s="1">
        <v>44071</v>
      </c>
      <c r="C2858" t="str">
        <f t="shared" si="1187"/>
        <v>agosto</v>
      </c>
      <c r="D2858" t="s">
        <v>55</v>
      </c>
      <c r="F2858" t="s">
        <v>457</v>
      </c>
      <c r="G2858">
        <f>8/16</f>
        <v>0.5</v>
      </c>
      <c r="H2858">
        <v>270</v>
      </c>
      <c r="I2858">
        <f t="shared" si="1186"/>
        <v>135</v>
      </c>
      <c r="J2858" t="s">
        <v>167</v>
      </c>
      <c r="K2858">
        <v>207</v>
      </c>
      <c r="M2858">
        <f t="shared" si="1188"/>
        <v>103.5</v>
      </c>
      <c r="N2858">
        <f t="shared" si="1189"/>
        <v>31.5</v>
      </c>
    </row>
    <row r="2859" spans="1:14" x14ac:dyDescent="0.25">
      <c r="A2859">
        <v>334</v>
      </c>
      <c r="B2859" s="1">
        <v>44071</v>
      </c>
      <c r="C2859" t="str">
        <f t="shared" si="1187"/>
        <v>agosto</v>
      </c>
      <c r="D2859" t="s">
        <v>15</v>
      </c>
      <c r="F2859" t="s">
        <v>312</v>
      </c>
      <c r="G2859">
        <v>1.33</v>
      </c>
      <c r="H2859">
        <v>300</v>
      </c>
      <c r="I2859">
        <f t="shared" si="1186"/>
        <v>399</v>
      </c>
      <c r="J2859" t="s">
        <v>167</v>
      </c>
      <c r="K2859">
        <v>268</v>
      </c>
      <c r="M2859">
        <f t="shared" si="1188"/>
        <v>356.44</v>
      </c>
      <c r="N2859">
        <f t="shared" si="1189"/>
        <v>42.56</v>
      </c>
    </row>
    <row r="2860" spans="1:14" x14ac:dyDescent="0.25">
      <c r="A2860">
        <v>335</v>
      </c>
      <c r="B2860" s="1">
        <v>44071</v>
      </c>
      <c r="C2860" t="str">
        <f t="shared" si="1187"/>
        <v>agosto</v>
      </c>
      <c r="D2860" t="s">
        <v>15</v>
      </c>
      <c r="F2860" t="s">
        <v>131</v>
      </c>
      <c r="G2860">
        <v>1.33</v>
      </c>
      <c r="H2860">
        <v>300</v>
      </c>
      <c r="I2860">
        <f t="shared" si="1186"/>
        <v>399</v>
      </c>
      <c r="J2860" t="s">
        <v>167</v>
      </c>
      <c r="K2860">
        <v>268</v>
      </c>
      <c r="M2860">
        <f t="shared" si="1188"/>
        <v>356.44</v>
      </c>
      <c r="N2860">
        <f t="shared" si="1189"/>
        <v>42.56</v>
      </c>
    </row>
    <row r="2861" spans="1:14" x14ac:dyDescent="0.25">
      <c r="A2861">
        <v>336</v>
      </c>
      <c r="B2861" s="1">
        <v>44071</v>
      </c>
      <c r="C2861" t="str">
        <f t="shared" si="1187"/>
        <v>agosto</v>
      </c>
      <c r="D2861" t="s">
        <v>56</v>
      </c>
      <c r="F2861" t="s">
        <v>267</v>
      </c>
      <c r="G2861">
        <v>2</v>
      </c>
      <c r="H2861">
        <v>170</v>
      </c>
      <c r="I2861">
        <f t="shared" si="1186"/>
        <v>340</v>
      </c>
      <c r="J2861" t="s">
        <v>163</v>
      </c>
      <c r="K2861">
        <v>123</v>
      </c>
      <c r="M2861">
        <f t="shared" si="1188"/>
        <v>246</v>
      </c>
      <c r="N2861">
        <f t="shared" si="1189"/>
        <v>94</v>
      </c>
    </row>
    <row r="2862" spans="1:14" x14ac:dyDescent="0.25">
      <c r="A2862">
        <v>337</v>
      </c>
      <c r="B2862" s="1">
        <v>44072</v>
      </c>
      <c r="C2862" t="str">
        <f t="shared" si="1187"/>
        <v>agosto</v>
      </c>
      <c r="D2862" t="s">
        <v>25</v>
      </c>
      <c r="F2862" t="s">
        <v>337</v>
      </c>
      <c r="G2862">
        <v>2</v>
      </c>
      <c r="H2862">
        <v>60</v>
      </c>
      <c r="I2862">
        <f t="shared" si="1186"/>
        <v>120</v>
      </c>
      <c r="J2862" t="s">
        <v>165</v>
      </c>
      <c r="K2862">
        <v>33</v>
      </c>
      <c r="M2862">
        <f t="shared" si="1188"/>
        <v>66</v>
      </c>
      <c r="N2862">
        <f t="shared" si="1189"/>
        <v>54</v>
      </c>
    </row>
    <row r="2863" spans="1:14" x14ac:dyDescent="0.25">
      <c r="A2863">
        <v>338</v>
      </c>
      <c r="B2863" s="1">
        <v>44072</v>
      </c>
      <c r="C2863" t="str">
        <f t="shared" si="1187"/>
        <v>agosto</v>
      </c>
      <c r="D2863" t="s">
        <v>56</v>
      </c>
      <c r="F2863" t="s">
        <v>267</v>
      </c>
      <c r="G2863">
        <v>3</v>
      </c>
      <c r="H2863">
        <v>170</v>
      </c>
      <c r="I2863">
        <f t="shared" si="1186"/>
        <v>510</v>
      </c>
      <c r="J2863" t="s">
        <v>163</v>
      </c>
      <c r="K2863">
        <v>123</v>
      </c>
      <c r="M2863">
        <f t="shared" si="1188"/>
        <v>369</v>
      </c>
      <c r="N2863">
        <f t="shared" si="1189"/>
        <v>141</v>
      </c>
    </row>
    <row r="2864" spans="1:14" x14ac:dyDescent="0.25">
      <c r="A2864">
        <v>339</v>
      </c>
      <c r="B2864" s="1">
        <v>44072</v>
      </c>
      <c r="C2864" t="str">
        <f t="shared" si="1187"/>
        <v>agosto</v>
      </c>
      <c r="D2864" t="s">
        <v>25</v>
      </c>
      <c r="F2864" t="s">
        <v>61</v>
      </c>
      <c r="G2864">
        <v>1</v>
      </c>
      <c r="H2864">
        <v>60</v>
      </c>
      <c r="I2864">
        <f t="shared" si="1186"/>
        <v>60</v>
      </c>
      <c r="J2864" t="s">
        <v>165</v>
      </c>
      <c r="K2864">
        <v>33</v>
      </c>
      <c r="M2864">
        <f t="shared" si="1188"/>
        <v>33</v>
      </c>
      <c r="N2864">
        <f t="shared" si="1189"/>
        <v>27</v>
      </c>
    </row>
    <row r="2865" spans="1:14" x14ac:dyDescent="0.25">
      <c r="A2865">
        <v>340</v>
      </c>
      <c r="B2865" s="1">
        <v>44072</v>
      </c>
      <c r="C2865" t="str">
        <f t="shared" si="1187"/>
        <v>agosto</v>
      </c>
      <c r="D2865" t="s">
        <v>44</v>
      </c>
      <c r="F2865" t="s">
        <v>387</v>
      </c>
      <c r="G2865">
        <v>1</v>
      </c>
      <c r="H2865">
        <v>35</v>
      </c>
      <c r="I2865">
        <f t="shared" si="1186"/>
        <v>35</v>
      </c>
      <c r="J2865" t="s">
        <v>166</v>
      </c>
      <c r="K2865">
        <v>22</v>
      </c>
      <c r="M2865">
        <f t="shared" si="1188"/>
        <v>22</v>
      </c>
      <c r="N2865">
        <f t="shared" si="1189"/>
        <v>13</v>
      </c>
    </row>
    <row r="2866" spans="1:14" x14ac:dyDescent="0.25">
      <c r="A2866">
        <v>341</v>
      </c>
      <c r="B2866" s="1">
        <v>44072</v>
      </c>
      <c r="C2866" t="str">
        <f t="shared" si="1187"/>
        <v>agosto</v>
      </c>
      <c r="D2866" t="s">
        <v>15</v>
      </c>
      <c r="F2866" t="s">
        <v>95</v>
      </c>
      <c r="G2866">
        <v>2</v>
      </c>
      <c r="H2866">
        <v>280</v>
      </c>
      <c r="I2866">
        <f t="shared" si="1186"/>
        <v>560</v>
      </c>
      <c r="J2866" t="s">
        <v>163</v>
      </c>
      <c r="K2866">
        <v>243</v>
      </c>
      <c r="M2866">
        <f t="shared" si="1188"/>
        <v>486</v>
      </c>
      <c r="N2866">
        <f t="shared" si="1189"/>
        <v>74</v>
      </c>
    </row>
    <row r="2867" spans="1:14" x14ac:dyDescent="0.25">
      <c r="A2867">
        <v>342</v>
      </c>
      <c r="B2867" s="1">
        <v>44072</v>
      </c>
      <c r="C2867" t="str">
        <f t="shared" si="1187"/>
        <v>agosto</v>
      </c>
      <c r="D2867" t="s">
        <v>25</v>
      </c>
      <c r="F2867" t="s">
        <v>156</v>
      </c>
      <c r="G2867">
        <v>1</v>
      </c>
      <c r="H2867">
        <v>60</v>
      </c>
      <c r="I2867">
        <f t="shared" si="1186"/>
        <v>60</v>
      </c>
      <c r="J2867" t="s">
        <v>165</v>
      </c>
      <c r="K2867">
        <v>33</v>
      </c>
      <c r="M2867">
        <f t="shared" si="1188"/>
        <v>33</v>
      </c>
      <c r="N2867">
        <f t="shared" si="1189"/>
        <v>27</v>
      </c>
    </row>
    <row r="2868" spans="1:14" x14ac:dyDescent="0.25">
      <c r="A2868">
        <v>343</v>
      </c>
      <c r="B2868" s="1">
        <v>44072</v>
      </c>
      <c r="C2868" t="str">
        <f t="shared" si="1187"/>
        <v>agosto</v>
      </c>
      <c r="D2868" t="s">
        <v>64</v>
      </c>
      <c r="F2868" t="s">
        <v>471</v>
      </c>
      <c r="G2868">
        <v>2.3199999999999998</v>
      </c>
      <c r="H2868">
        <v>430</v>
      </c>
      <c r="I2868">
        <f t="shared" si="1186"/>
        <v>997.59999999999991</v>
      </c>
      <c r="J2868" t="s">
        <v>167</v>
      </c>
      <c r="K2868">
        <v>312</v>
      </c>
      <c r="M2868">
        <f t="shared" si="1188"/>
        <v>723.83999999999992</v>
      </c>
      <c r="N2868">
        <f t="shared" si="1189"/>
        <v>273.76</v>
      </c>
    </row>
    <row r="2869" spans="1:14" x14ac:dyDescent="0.25">
      <c r="A2869">
        <v>344</v>
      </c>
      <c r="B2869" s="1">
        <v>44072</v>
      </c>
      <c r="C2869" t="str">
        <f t="shared" si="1187"/>
        <v>agosto</v>
      </c>
      <c r="D2869" t="s">
        <v>64</v>
      </c>
      <c r="F2869" t="s">
        <v>470</v>
      </c>
      <c r="G2869">
        <v>2.3199999999999998</v>
      </c>
      <c r="H2869">
        <v>430</v>
      </c>
      <c r="I2869">
        <f t="shared" si="1186"/>
        <v>997.59999999999991</v>
      </c>
      <c r="J2869" t="s">
        <v>167</v>
      </c>
      <c r="K2869">
        <v>312</v>
      </c>
      <c r="M2869">
        <f t="shared" si="1188"/>
        <v>723.83999999999992</v>
      </c>
      <c r="N2869">
        <f t="shared" si="1189"/>
        <v>273.76</v>
      </c>
    </row>
    <row r="2870" spans="1:14" x14ac:dyDescent="0.25">
      <c r="A2870">
        <v>345</v>
      </c>
      <c r="B2870" s="1">
        <v>44074</v>
      </c>
      <c r="C2870" t="str">
        <f t="shared" si="1187"/>
        <v>agosto</v>
      </c>
      <c r="D2870" t="s">
        <v>55</v>
      </c>
      <c r="F2870" t="s">
        <v>399</v>
      </c>
      <c r="G2870">
        <f>2/17</f>
        <v>0.11764705882352941</v>
      </c>
      <c r="H2870">
        <v>300</v>
      </c>
      <c r="I2870">
        <f t="shared" si="1186"/>
        <v>35.294117647058826</v>
      </c>
      <c r="J2870" t="s">
        <v>167</v>
      </c>
      <c r="K2870">
        <v>268</v>
      </c>
      <c r="M2870">
        <f t="shared" si="1188"/>
        <v>31.52941176470588</v>
      </c>
      <c r="N2870">
        <f t="shared" si="1189"/>
        <v>3.7647058823529456</v>
      </c>
    </row>
    <row r="2871" spans="1:14" x14ac:dyDescent="0.25">
      <c r="A2871">
        <v>346</v>
      </c>
      <c r="B2871" s="1">
        <v>44074</v>
      </c>
      <c r="C2871" t="str">
        <f t="shared" si="1187"/>
        <v>agosto</v>
      </c>
      <c r="D2871" t="s">
        <v>24</v>
      </c>
      <c r="F2871" t="s">
        <v>24</v>
      </c>
      <c r="G2871">
        <v>3.2</v>
      </c>
      <c r="H2871">
        <v>100</v>
      </c>
      <c r="I2871">
        <f t="shared" si="1186"/>
        <v>320</v>
      </c>
      <c r="J2871" t="s">
        <v>186</v>
      </c>
      <c r="K2871">
        <v>80</v>
      </c>
      <c r="M2871">
        <f t="shared" si="1188"/>
        <v>256</v>
      </c>
      <c r="N2871">
        <f t="shared" si="1189"/>
        <v>64</v>
      </c>
    </row>
    <row r="2872" spans="1:14" x14ac:dyDescent="0.25">
      <c r="A2872">
        <v>347</v>
      </c>
      <c r="B2872" s="1">
        <v>44074</v>
      </c>
      <c r="C2872" t="str">
        <f t="shared" si="1187"/>
        <v>agosto</v>
      </c>
      <c r="D2872" t="s">
        <v>15</v>
      </c>
      <c r="F2872" t="s">
        <v>346</v>
      </c>
      <c r="G2872">
        <v>5</v>
      </c>
      <c r="H2872">
        <v>250</v>
      </c>
      <c r="I2872">
        <f t="shared" si="1186"/>
        <v>1250</v>
      </c>
      <c r="J2872" t="s">
        <v>167</v>
      </c>
      <c r="K2872">
        <v>219</v>
      </c>
      <c r="M2872">
        <f t="shared" si="1188"/>
        <v>1095</v>
      </c>
      <c r="N2872">
        <f t="shared" si="1189"/>
        <v>155</v>
      </c>
    </row>
    <row r="2873" spans="1:14" x14ac:dyDescent="0.25">
      <c r="A2873">
        <v>348</v>
      </c>
      <c r="B2873" s="1">
        <v>44074</v>
      </c>
      <c r="C2873" t="str">
        <f t="shared" si="1187"/>
        <v>agosto</v>
      </c>
      <c r="D2873" t="s">
        <v>23</v>
      </c>
      <c r="F2873" t="s">
        <v>456</v>
      </c>
      <c r="G2873">
        <v>1</v>
      </c>
      <c r="H2873">
        <v>250</v>
      </c>
      <c r="I2873">
        <f t="shared" si="1186"/>
        <v>250</v>
      </c>
      <c r="J2873" t="s">
        <v>163</v>
      </c>
      <c r="K2873">
        <v>230</v>
      </c>
      <c r="M2873">
        <f t="shared" si="1188"/>
        <v>230</v>
      </c>
      <c r="N2873">
        <f t="shared" si="1189"/>
        <v>20</v>
      </c>
    </row>
    <row r="2874" spans="1:14" x14ac:dyDescent="0.25">
      <c r="A2874">
        <v>349</v>
      </c>
      <c r="B2874" s="1">
        <v>44074</v>
      </c>
      <c r="C2874" t="str">
        <f t="shared" si="1187"/>
        <v>agosto</v>
      </c>
      <c r="D2874" t="s">
        <v>56</v>
      </c>
      <c r="F2874" t="s">
        <v>267</v>
      </c>
      <c r="G2874">
        <v>2</v>
      </c>
      <c r="H2874">
        <v>170</v>
      </c>
      <c r="I2874">
        <f t="shared" si="1186"/>
        <v>340</v>
      </c>
      <c r="J2874" t="s">
        <v>163</v>
      </c>
      <c r="K2874">
        <v>123</v>
      </c>
      <c r="M2874">
        <f t="shared" si="1188"/>
        <v>246</v>
      </c>
      <c r="N2874">
        <f t="shared" si="1189"/>
        <v>94</v>
      </c>
    </row>
    <row r="2875" spans="1:14" x14ac:dyDescent="0.25">
      <c r="A2875">
        <v>350</v>
      </c>
      <c r="B2875" s="1">
        <v>44074</v>
      </c>
      <c r="C2875" t="str">
        <f t="shared" si="1187"/>
        <v>agosto</v>
      </c>
      <c r="D2875" t="s">
        <v>15</v>
      </c>
      <c r="F2875" t="s">
        <v>397</v>
      </c>
      <c r="G2875">
        <v>6</v>
      </c>
      <c r="H2875">
        <v>250</v>
      </c>
      <c r="I2875">
        <f t="shared" ref="I2875:I2938" si="1190">+G2875*H2875</f>
        <v>1500</v>
      </c>
      <c r="J2875" t="s">
        <v>167</v>
      </c>
      <c r="K2875">
        <v>219</v>
      </c>
      <c r="M2875">
        <f t="shared" si="1188"/>
        <v>1314</v>
      </c>
      <c r="N2875">
        <f t="shared" si="1189"/>
        <v>186</v>
      </c>
    </row>
    <row r="2876" spans="1:14" x14ac:dyDescent="0.25">
      <c r="A2876">
        <v>351</v>
      </c>
      <c r="B2876" s="1">
        <v>44074</v>
      </c>
      <c r="C2876" t="str">
        <f t="shared" si="1187"/>
        <v>agosto</v>
      </c>
      <c r="D2876" t="s">
        <v>15</v>
      </c>
      <c r="F2876" t="s">
        <v>20</v>
      </c>
      <c r="G2876">
        <v>35</v>
      </c>
      <c r="H2876">
        <v>265</v>
      </c>
      <c r="I2876">
        <f t="shared" si="1190"/>
        <v>9275</v>
      </c>
      <c r="J2876" t="s">
        <v>163</v>
      </c>
      <c r="K2876">
        <v>232</v>
      </c>
      <c r="M2876">
        <f t="shared" si="1188"/>
        <v>8120</v>
      </c>
      <c r="N2876">
        <f t="shared" si="1189"/>
        <v>1155</v>
      </c>
    </row>
    <row r="2877" spans="1:14" x14ac:dyDescent="0.25">
      <c r="A2877">
        <v>352</v>
      </c>
      <c r="B2877" s="1">
        <v>44074</v>
      </c>
      <c r="C2877" t="str">
        <f t="shared" si="1187"/>
        <v>agosto</v>
      </c>
      <c r="D2877" t="s">
        <v>56</v>
      </c>
      <c r="F2877" t="s">
        <v>38</v>
      </c>
      <c r="G2877">
        <v>6</v>
      </c>
      <c r="H2877">
        <v>100</v>
      </c>
      <c r="I2877">
        <f t="shared" si="1190"/>
        <v>600</v>
      </c>
      <c r="J2877" t="s">
        <v>164</v>
      </c>
      <c r="K2877">
        <v>80</v>
      </c>
      <c r="M2877">
        <f t="shared" si="1188"/>
        <v>480</v>
      </c>
      <c r="N2877">
        <f t="shared" si="1189"/>
        <v>120</v>
      </c>
    </row>
    <row r="2878" spans="1:14" x14ac:dyDescent="0.25">
      <c r="A2878">
        <v>353</v>
      </c>
      <c r="B2878" s="1">
        <v>44074</v>
      </c>
      <c r="C2878" t="str">
        <f t="shared" si="1187"/>
        <v>agosto</v>
      </c>
      <c r="D2878" t="s">
        <v>85</v>
      </c>
      <c r="F2878" t="s">
        <v>216</v>
      </c>
      <c r="G2878">
        <v>1</v>
      </c>
      <c r="H2878">
        <v>900</v>
      </c>
      <c r="I2878">
        <f t="shared" si="1190"/>
        <v>900</v>
      </c>
      <c r="J2878" t="s">
        <v>167</v>
      </c>
      <c r="K2878">
        <v>480</v>
      </c>
      <c r="M2878">
        <f t="shared" si="1188"/>
        <v>480</v>
      </c>
      <c r="N2878">
        <f t="shared" si="1189"/>
        <v>420</v>
      </c>
    </row>
    <row r="2879" spans="1:14" x14ac:dyDescent="0.25">
      <c r="A2879">
        <v>354</v>
      </c>
      <c r="B2879" s="1">
        <v>44074</v>
      </c>
      <c r="C2879" t="str">
        <f t="shared" si="1187"/>
        <v>agosto</v>
      </c>
      <c r="D2879" t="s">
        <v>85</v>
      </c>
      <c r="F2879" t="s">
        <v>253</v>
      </c>
      <c r="G2879">
        <v>1</v>
      </c>
      <c r="H2879">
        <v>850</v>
      </c>
      <c r="I2879">
        <f t="shared" si="1190"/>
        <v>850</v>
      </c>
      <c r="J2879" t="s">
        <v>167</v>
      </c>
      <c r="K2879">
        <v>480</v>
      </c>
      <c r="M2879">
        <f t="shared" si="1188"/>
        <v>480</v>
      </c>
      <c r="N2879">
        <f t="shared" si="1189"/>
        <v>370</v>
      </c>
    </row>
    <row r="2880" spans="1:14" x14ac:dyDescent="0.25">
      <c r="A2880">
        <v>355</v>
      </c>
      <c r="B2880" s="1">
        <v>44074</v>
      </c>
      <c r="C2880" t="str">
        <f t="shared" si="1187"/>
        <v>agosto</v>
      </c>
      <c r="D2880" t="s">
        <v>25</v>
      </c>
      <c r="F2880" t="s">
        <v>83</v>
      </c>
      <c r="G2880">
        <v>2</v>
      </c>
      <c r="H2880">
        <v>60</v>
      </c>
      <c r="I2880">
        <f t="shared" si="1190"/>
        <v>120</v>
      </c>
      <c r="J2880" t="s">
        <v>165</v>
      </c>
      <c r="K2880">
        <v>33</v>
      </c>
      <c r="M2880">
        <f t="shared" si="1188"/>
        <v>66</v>
      </c>
      <c r="N2880">
        <f t="shared" si="1189"/>
        <v>54</v>
      </c>
    </row>
    <row r="2881" spans="1:14" x14ac:dyDescent="0.25">
      <c r="A2881">
        <v>356</v>
      </c>
      <c r="B2881" s="1">
        <v>44074</v>
      </c>
      <c r="C2881" t="str">
        <f t="shared" si="1187"/>
        <v>agosto</v>
      </c>
      <c r="D2881" t="s">
        <v>15</v>
      </c>
      <c r="F2881" t="s">
        <v>29</v>
      </c>
      <c r="G2881">
        <v>16.5</v>
      </c>
      <c r="H2881">
        <v>240</v>
      </c>
      <c r="I2881">
        <f t="shared" si="1190"/>
        <v>3960</v>
      </c>
      <c r="J2881" t="s">
        <v>163</v>
      </c>
      <c r="K2881">
        <v>211</v>
      </c>
      <c r="M2881">
        <f t="shared" si="1188"/>
        <v>3481.5</v>
      </c>
      <c r="N2881">
        <f t="shared" si="1189"/>
        <v>478.5</v>
      </c>
    </row>
    <row r="2882" spans="1:14" x14ac:dyDescent="0.25">
      <c r="A2882">
        <v>357</v>
      </c>
      <c r="B2882" s="1">
        <v>44074</v>
      </c>
      <c r="C2882" t="str">
        <f t="shared" si="1187"/>
        <v>agosto</v>
      </c>
      <c r="D2882" t="s">
        <v>85</v>
      </c>
      <c r="F2882" t="s">
        <v>41</v>
      </c>
      <c r="G2882">
        <v>2</v>
      </c>
      <c r="H2882">
        <v>170</v>
      </c>
      <c r="I2882">
        <f t="shared" si="1190"/>
        <v>340</v>
      </c>
      <c r="J2882" t="s">
        <v>198</v>
      </c>
      <c r="M2882" t="str">
        <f t="shared" ref="M2882:M2945" si="1191">+IF(K2882=0,(""),(K2882*G2882))</f>
        <v/>
      </c>
      <c r="N2882" t="str">
        <f t="shared" ref="N2882:N2945" si="1192">+IF(K2882=0,(""),(I2882-M2882))</f>
        <v/>
      </c>
    </row>
    <row r="2883" spans="1:14" x14ac:dyDescent="0.25">
      <c r="A2883">
        <v>1</v>
      </c>
      <c r="B2883" s="1">
        <v>44075</v>
      </c>
      <c r="C2883" t="str">
        <f t="shared" si="1187"/>
        <v>septiembre</v>
      </c>
      <c r="D2883" t="s">
        <v>56</v>
      </c>
      <c r="F2883" t="s">
        <v>38</v>
      </c>
      <c r="G2883">
        <v>3</v>
      </c>
      <c r="H2883">
        <v>100</v>
      </c>
      <c r="I2883">
        <f t="shared" si="1190"/>
        <v>300</v>
      </c>
      <c r="J2883" t="s">
        <v>164</v>
      </c>
      <c r="K2883">
        <v>70</v>
      </c>
      <c r="M2883">
        <f t="shared" si="1191"/>
        <v>210</v>
      </c>
      <c r="N2883">
        <f t="shared" si="1192"/>
        <v>90</v>
      </c>
    </row>
    <row r="2884" spans="1:14" x14ac:dyDescent="0.25">
      <c r="A2884">
        <v>2</v>
      </c>
      <c r="B2884" s="1">
        <v>44075</v>
      </c>
      <c r="C2884" t="str">
        <f t="shared" si="1187"/>
        <v>septiembre</v>
      </c>
      <c r="D2884" t="s">
        <v>55</v>
      </c>
      <c r="F2884" t="s">
        <v>22</v>
      </c>
      <c r="G2884">
        <v>1.41</v>
      </c>
      <c r="H2884">
        <v>300</v>
      </c>
      <c r="I2884">
        <f t="shared" si="1190"/>
        <v>423</v>
      </c>
      <c r="J2884" t="s">
        <v>167</v>
      </c>
      <c r="K2884">
        <v>268</v>
      </c>
      <c r="M2884">
        <f t="shared" si="1191"/>
        <v>377.88</v>
      </c>
      <c r="N2884">
        <f t="shared" si="1192"/>
        <v>45.120000000000005</v>
      </c>
    </row>
    <row r="2885" spans="1:14" x14ac:dyDescent="0.25">
      <c r="A2885">
        <v>3</v>
      </c>
      <c r="B2885" s="1">
        <v>44075</v>
      </c>
      <c r="C2885" t="str">
        <f t="shared" si="1187"/>
        <v>septiembre</v>
      </c>
      <c r="D2885" t="s">
        <v>25</v>
      </c>
      <c r="F2885" t="s">
        <v>72</v>
      </c>
      <c r="G2885">
        <v>1</v>
      </c>
      <c r="H2885">
        <v>60</v>
      </c>
      <c r="I2885">
        <f t="shared" si="1190"/>
        <v>60</v>
      </c>
      <c r="J2885" t="s">
        <v>165</v>
      </c>
      <c r="K2885">
        <v>34</v>
      </c>
      <c r="M2885">
        <f t="shared" si="1191"/>
        <v>34</v>
      </c>
      <c r="N2885">
        <f t="shared" si="1192"/>
        <v>26</v>
      </c>
    </row>
    <row r="2886" spans="1:14" x14ac:dyDescent="0.25">
      <c r="A2886">
        <v>4</v>
      </c>
      <c r="B2886" s="1">
        <v>44075</v>
      </c>
      <c r="C2886" t="str">
        <f t="shared" si="1187"/>
        <v>septiembre</v>
      </c>
      <c r="D2886" t="s">
        <v>55</v>
      </c>
      <c r="F2886" t="s">
        <v>457</v>
      </c>
      <c r="G2886">
        <v>7</v>
      </c>
      <c r="H2886">
        <v>265</v>
      </c>
      <c r="I2886">
        <f t="shared" si="1190"/>
        <v>1855</v>
      </c>
      <c r="J2886" t="s">
        <v>167</v>
      </c>
      <c r="K2886">
        <v>207</v>
      </c>
      <c r="M2886">
        <f t="shared" si="1191"/>
        <v>1449</v>
      </c>
      <c r="N2886">
        <f t="shared" si="1192"/>
        <v>406</v>
      </c>
    </row>
    <row r="2887" spans="1:14" x14ac:dyDescent="0.25">
      <c r="A2887">
        <v>5</v>
      </c>
      <c r="B2887" s="1">
        <v>44075</v>
      </c>
      <c r="C2887" t="str">
        <f t="shared" si="1187"/>
        <v>septiembre</v>
      </c>
      <c r="D2887" t="s">
        <v>56</v>
      </c>
      <c r="F2887" t="s">
        <v>38</v>
      </c>
      <c r="G2887">
        <v>8</v>
      </c>
      <c r="H2887">
        <v>100</v>
      </c>
      <c r="I2887">
        <f t="shared" si="1190"/>
        <v>800</v>
      </c>
      <c r="J2887" t="s">
        <v>164</v>
      </c>
      <c r="K2887">
        <v>70</v>
      </c>
      <c r="M2887">
        <f t="shared" si="1191"/>
        <v>560</v>
      </c>
      <c r="N2887">
        <f t="shared" si="1192"/>
        <v>240</v>
      </c>
    </row>
    <row r="2888" spans="1:14" x14ac:dyDescent="0.25">
      <c r="A2888">
        <v>6</v>
      </c>
      <c r="B2888" s="1">
        <v>44075</v>
      </c>
      <c r="C2888" t="str">
        <f t="shared" si="1187"/>
        <v>septiembre</v>
      </c>
      <c r="D2888" t="s">
        <v>44</v>
      </c>
      <c r="F2888" t="s">
        <v>138</v>
      </c>
      <c r="G2888">
        <v>2</v>
      </c>
      <c r="H2888">
        <v>35</v>
      </c>
      <c r="I2888">
        <f t="shared" si="1190"/>
        <v>70</v>
      </c>
      <c r="J2888" t="s">
        <v>166</v>
      </c>
      <c r="K2888">
        <v>29</v>
      </c>
      <c r="M2888">
        <f t="shared" si="1191"/>
        <v>58</v>
      </c>
      <c r="N2888">
        <f t="shared" si="1192"/>
        <v>12</v>
      </c>
    </row>
    <row r="2889" spans="1:14" x14ac:dyDescent="0.25">
      <c r="A2889">
        <v>7</v>
      </c>
      <c r="B2889" s="1">
        <v>44075</v>
      </c>
      <c r="C2889" t="str">
        <f t="shared" si="1187"/>
        <v>septiembre</v>
      </c>
      <c r="D2889" t="s">
        <v>44</v>
      </c>
      <c r="F2889" t="s">
        <v>387</v>
      </c>
      <c r="G2889">
        <v>2</v>
      </c>
      <c r="H2889">
        <v>35</v>
      </c>
      <c r="I2889">
        <f t="shared" si="1190"/>
        <v>70</v>
      </c>
      <c r="J2889" t="s">
        <v>198</v>
      </c>
      <c r="K2889">
        <v>22</v>
      </c>
      <c r="M2889">
        <f t="shared" si="1191"/>
        <v>44</v>
      </c>
      <c r="N2889">
        <f t="shared" si="1192"/>
        <v>26</v>
      </c>
    </row>
    <row r="2890" spans="1:14" x14ac:dyDescent="0.25">
      <c r="A2890">
        <v>8</v>
      </c>
      <c r="B2890" s="1">
        <v>44075</v>
      </c>
      <c r="C2890" t="str">
        <f t="shared" si="1187"/>
        <v>septiembre</v>
      </c>
      <c r="D2890" t="s">
        <v>15</v>
      </c>
      <c r="F2890" t="s">
        <v>414</v>
      </c>
      <c r="G2890">
        <v>1.5</v>
      </c>
      <c r="H2890">
        <v>300</v>
      </c>
      <c r="I2890">
        <f t="shared" si="1190"/>
        <v>450</v>
      </c>
      <c r="J2890" t="s">
        <v>167</v>
      </c>
      <c r="K2890">
        <v>268</v>
      </c>
      <c r="M2890">
        <f t="shared" si="1191"/>
        <v>402</v>
      </c>
      <c r="N2890">
        <f t="shared" si="1192"/>
        <v>48</v>
      </c>
    </row>
    <row r="2891" spans="1:14" x14ac:dyDescent="0.25">
      <c r="A2891">
        <v>9</v>
      </c>
      <c r="B2891" s="1">
        <v>44075</v>
      </c>
      <c r="C2891" t="str">
        <f t="shared" si="1187"/>
        <v>septiembre</v>
      </c>
      <c r="D2891" t="s">
        <v>92</v>
      </c>
      <c r="F2891" t="s">
        <v>342</v>
      </c>
      <c r="G2891">
        <v>1</v>
      </c>
      <c r="H2891">
        <v>230</v>
      </c>
      <c r="I2891">
        <f t="shared" si="1190"/>
        <v>230</v>
      </c>
      <c r="J2891" t="s">
        <v>166</v>
      </c>
      <c r="K2891">
        <v>150</v>
      </c>
      <c r="M2891">
        <f t="shared" si="1191"/>
        <v>150</v>
      </c>
      <c r="N2891">
        <f t="shared" si="1192"/>
        <v>80</v>
      </c>
    </row>
    <row r="2892" spans="1:14" x14ac:dyDescent="0.25">
      <c r="A2892">
        <v>10</v>
      </c>
      <c r="B2892" s="1">
        <v>44075</v>
      </c>
      <c r="C2892" t="str">
        <f t="shared" si="1187"/>
        <v>septiembre</v>
      </c>
      <c r="D2892" t="s">
        <v>55</v>
      </c>
      <c r="F2892" t="s">
        <v>473</v>
      </c>
      <c r="G2892">
        <v>6.5</v>
      </c>
      <c r="H2892">
        <v>270</v>
      </c>
      <c r="I2892">
        <f t="shared" si="1190"/>
        <v>1755</v>
      </c>
      <c r="J2892" t="s">
        <v>167</v>
      </c>
      <c r="K2892">
        <v>207</v>
      </c>
      <c r="M2892">
        <f t="shared" si="1191"/>
        <v>1345.5</v>
      </c>
      <c r="N2892">
        <f t="shared" si="1192"/>
        <v>409.5</v>
      </c>
    </row>
    <row r="2893" spans="1:14" x14ac:dyDescent="0.25">
      <c r="A2893">
        <v>11</v>
      </c>
      <c r="B2893" s="1">
        <v>44075</v>
      </c>
      <c r="C2893" t="str">
        <f t="shared" si="1187"/>
        <v>septiembre</v>
      </c>
      <c r="D2893" t="s">
        <v>56</v>
      </c>
      <c r="F2893" t="s">
        <v>267</v>
      </c>
      <c r="G2893">
        <v>2</v>
      </c>
      <c r="H2893">
        <v>170</v>
      </c>
      <c r="I2893">
        <f t="shared" si="1190"/>
        <v>340</v>
      </c>
      <c r="J2893" t="s">
        <v>163</v>
      </c>
      <c r="K2893">
        <v>123</v>
      </c>
      <c r="M2893">
        <f t="shared" si="1191"/>
        <v>246</v>
      </c>
      <c r="N2893">
        <f t="shared" si="1192"/>
        <v>94</v>
      </c>
    </row>
    <row r="2894" spans="1:14" x14ac:dyDescent="0.25">
      <c r="A2894">
        <v>12</v>
      </c>
      <c r="B2894" s="1">
        <v>44075</v>
      </c>
      <c r="C2894" t="str">
        <f t="shared" si="1187"/>
        <v>septiembre</v>
      </c>
      <c r="D2894" t="s">
        <v>15</v>
      </c>
      <c r="F2894" t="s">
        <v>29</v>
      </c>
      <c r="G2894">
        <v>7</v>
      </c>
      <c r="H2894">
        <v>240</v>
      </c>
      <c r="I2894">
        <f t="shared" si="1190"/>
        <v>1680</v>
      </c>
      <c r="J2894" t="s">
        <v>163</v>
      </c>
      <c r="K2894">
        <v>211</v>
      </c>
      <c r="M2894">
        <f t="shared" si="1191"/>
        <v>1477</v>
      </c>
      <c r="N2894">
        <f t="shared" si="1192"/>
        <v>203</v>
      </c>
    </row>
    <row r="2895" spans="1:14" x14ac:dyDescent="0.25">
      <c r="A2895">
        <v>13</v>
      </c>
      <c r="B2895" s="1">
        <v>44075</v>
      </c>
      <c r="C2895" t="str">
        <f t="shared" si="1187"/>
        <v>septiembre</v>
      </c>
      <c r="D2895" t="s">
        <v>15</v>
      </c>
      <c r="F2895" t="s">
        <v>462</v>
      </c>
      <c r="G2895">
        <v>2</v>
      </c>
      <c r="H2895">
        <v>250</v>
      </c>
      <c r="I2895">
        <f t="shared" si="1190"/>
        <v>500</v>
      </c>
      <c r="J2895" t="s">
        <v>163</v>
      </c>
      <c r="K2895">
        <v>220</v>
      </c>
      <c r="M2895">
        <f t="shared" si="1191"/>
        <v>440</v>
      </c>
      <c r="N2895">
        <f t="shared" si="1192"/>
        <v>60</v>
      </c>
    </row>
    <row r="2896" spans="1:14" x14ac:dyDescent="0.25">
      <c r="A2896">
        <v>14</v>
      </c>
      <c r="B2896" s="1">
        <v>44075</v>
      </c>
      <c r="C2896" t="str">
        <f t="shared" si="1187"/>
        <v>septiembre</v>
      </c>
      <c r="D2896" t="s">
        <v>26</v>
      </c>
      <c r="F2896" t="s">
        <v>47</v>
      </c>
      <c r="G2896">
        <v>12.91</v>
      </c>
      <c r="H2896">
        <v>350</v>
      </c>
      <c r="I2896">
        <f t="shared" si="1190"/>
        <v>4518.5</v>
      </c>
      <c r="J2896" t="s">
        <v>99</v>
      </c>
      <c r="K2896">
        <v>260</v>
      </c>
      <c r="M2896">
        <f t="shared" si="1191"/>
        <v>3356.6</v>
      </c>
      <c r="N2896">
        <f t="shared" si="1192"/>
        <v>1161.9000000000001</v>
      </c>
    </row>
    <row r="2897" spans="1:14" x14ac:dyDescent="0.25">
      <c r="A2897">
        <v>15</v>
      </c>
      <c r="B2897" s="1">
        <v>44075</v>
      </c>
      <c r="C2897" t="str">
        <f t="shared" si="1187"/>
        <v>septiembre</v>
      </c>
      <c r="D2897" t="s">
        <v>56</v>
      </c>
      <c r="F2897" t="s">
        <v>176</v>
      </c>
      <c r="G2897">
        <v>8</v>
      </c>
      <c r="H2897">
        <v>260</v>
      </c>
      <c r="I2897">
        <f t="shared" si="1190"/>
        <v>2080</v>
      </c>
      <c r="J2897" t="s">
        <v>163</v>
      </c>
      <c r="K2897">
        <v>200</v>
      </c>
      <c r="M2897">
        <f t="shared" si="1191"/>
        <v>1600</v>
      </c>
      <c r="N2897">
        <f t="shared" si="1192"/>
        <v>480</v>
      </c>
    </row>
    <row r="2898" spans="1:14" x14ac:dyDescent="0.25">
      <c r="A2898">
        <v>16</v>
      </c>
      <c r="B2898" s="1">
        <v>44075</v>
      </c>
      <c r="C2898" t="str">
        <f t="shared" si="1187"/>
        <v>septiembre</v>
      </c>
      <c r="D2898" t="s">
        <v>15</v>
      </c>
      <c r="F2898" t="s">
        <v>29</v>
      </c>
      <c r="G2898">
        <v>3</v>
      </c>
      <c r="H2898">
        <v>240</v>
      </c>
      <c r="I2898">
        <f t="shared" si="1190"/>
        <v>720</v>
      </c>
      <c r="J2898" t="s">
        <v>163</v>
      </c>
      <c r="K2898">
        <v>211</v>
      </c>
      <c r="M2898">
        <f t="shared" si="1191"/>
        <v>633</v>
      </c>
      <c r="N2898">
        <f t="shared" si="1192"/>
        <v>87</v>
      </c>
    </row>
    <row r="2899" spans="1:14" x14ac:dyDescent="0.25">
      <c r="A2899">
        <v>17</v>
      </c>
      <c r="B2899" s="1">
        <v>44075</v>
      </c>
      <c r="C2899" t="str">
        <f t="shared" si="1187"/>
        <v>septiembre</v>
      </c>
      <c r="D2899" t="s">
        <v>15</v>
      </c>
      <c r="F2899" t="s">
        <v>45</v>
      </c>
      <c r="G2899">
        <f>3/9</f>
        <v>0.33333333333333331</v>
      </c>
      <c r="H2899">
        <v>300</v>
      </c>
      <c r="I2899">
        <f t="shared" si="1190"/>
        <v>100</v>
      </c>
      <c r="J2899" t="s">
        <v>167</v>
      </c>
      <c r="K2899">
        <v>268</v>
      </c>
      <c r="M2899">
        <f t="shared" si="1191"/>
        <v>89.333333333333329</v>
      </c>
      <c r="N2899">
        <f t="shared" si="1192"/>
        <v>10.666666666666671</v>
      </c>
    </row>
    <row r="2900" spans="1:14" x14ac:dyDescent="0.25">
      <c r="A2900">
        <v>18</v>
      </c>
      <c r="B2900" s="1">
        <v>44075</v>
      </c>
      <c r="C2900" t="str">
        <f t="shared" si="1187"/>
        <v>septiembre</v>
      </c>
      <c r="D2900" t="s">
        <v>70</v>
      </c>
      <c r="F2900" t="s">
        <v>227</v>
      </c>
      <c r="G2900">
        <v>1</v>
      </c>
      <c r="H2900">
        <v>1650</v>
      </c>
      <c r="I2900">
        <f t="shared" si="1190"/>
        <v>1650</v>
      </c>
      <c r="J2900" t="s">
        <v>167</v>
      </c>
      <c r="K2900">
        <v>1440</v>
      </c>
      <c r="M2900">
        <f t="shared" si="1191"/>
        <v>1440</v>
      </c>
      <c r="N2900">
        <f t="shared" si="1192"/>
        <v>210</v>
      </c>
    </row>
    <row r="2901" spans="1:14" x14ac:dyDescent="0.25">
      <c r="A2901">
        <v>19</v>
      </c>
      <c r="B2901" s="1">
        <v>44075</v>
      </c>
      <c r="C2901" t="str">
        <f t="shared" si="1187"/>
        <v>septiembre</v>
      </c>
      <c r="D2901" t="s">
        <v>55</v>
      </c>
      <c r="F2901" t="s">
        <v>22</v>
      </c>
      <c r="G2901">
        <f>26/17</f>
        <v>1.5294117647058822</v>
      </c>
      <c r="H2901">
        <v>300</v>
      </c>
      <c r="I2901">
        <f t="shared" si="1190"/>
        <v>458.8235294117647</v>
      </c>
      <c r="J2901" t="s">
        <v>167</v>
      </c>
      <c r="K2901">
        <v>268</v>
      </c>
      <c r="M2901">
        <f t="shared" si="1191"/>
        <v>409.88235294117646</v>
      </c>
      <c r="N2901">
        <f t="shared" si="1192"/>
        <v>48.941176470588232</v>
      </c>
    </row>
    <row r="2902" spans="1:14" x14ac:dyDescent="0.25">
      <c r="A2902">
        <v>20</v>
      </c>
      <c r="B2902" s="1">
        <v>44075</v>
      </c>
      <c r="C2902" t="str">
        <f t="shared" si="1187"/>
        <v>septiembre</v>
      </c>
      <c r="D2902" t="s">
        <v>55</v>
      </c>
      <c r="F2902" t="s">
        <v>108</v>
      </c>
      <c r="G2902">
        <f>7/17</f>
        <v>0.41176470588235292</v>
      </c>
      <c r="H2902">
        <v>300</v>
      </c>
      <c r="I2902">
        <f t="shared" si="1190"/>
        <v>123.52941176470587</v>
      </c>
      <c r="J2902" t="s">
        <v>167</v>
      </c>
      <c r="K2902">
        <v>268</v>
      </c>
      <c r="M2902">
        <f t="shared" si="1191"/>
        <v>110.35294117647058</v>
      </c>
      <c r="N2902">
        <f t="shared" si="1192"/>
        <v>13.17647058823529</v>
      </c>
    </row>
    <row r="2903" spans="1:14" x14ac:dyDescent="0.25">
      <c r="A2903">
        <v>21</v>
      </c>
      <c r="B2903" s="1">
        <v>44075</v>
      </c>
      <c r="C2903" t="str">
        <f t="shared" si="1187"/>
        <v>septiembre</v>
      </c>
      <c r="D2903" t="s">
        <v>15</v>
      </c>
      <c r="F2903" t="s">
        <v>29</v>
      </c>
      <c r="G2903">
        <v>1</v>
      </c>
      <c r="H2903">
        <v>240</v>
      </c>
      <c r="I2903">
        <f t="shared" si="1190"/>
        <v>240</v>
      </c>
      <c r="J2903" t="s">
        <v>163</v>
      </c>
      <c r="K2903">
        <v>211</v>
      </c>
      <c r="M2903">
        <f t="shared" si="1191"/>
        <v>211</v>
      </c>
      <c r="N2903">
        <f t="shared" si="1192"/>
        <v>29</v>
      </c>
    </row>
    <row r="2904" spans="1:14" x14ac:dyDescent="0.25">
      <c r="A2904">
        <v>22</v>
      </c>
      <c r="B2904" s="1">
        <v>44075</v>
      </c>
      <c r="C2904" t="str">
        <f t="shared" si="1187"/>
        <v>septiembre</v>
      </c>
      <c r="D2904" t="s">
        <v>25</v>
      </c>
      <c r="F2904" t="s">
        <v>127</v>
      </c>
      <c r="G2904">
        <v>1</v>
      </c>
      <c r="H2904">
        <v>60</v>
      </c>
      <c r="I2904">
        <f t="shared" si="1190"/>
        <v>60</v>
      </c>
      <c r="J2904" t="s">
        <v>165</v>
      </c>
      <c r="K2904">
        <v>34</v>
      </c>
      <c r="M2904">
        <f t="shared" si="1191"/>
        <v>34</v>
      </c>
      <c r="N2904">
        <f t="shared" si="1192"/>
        <v>26</v>
      </c>
    </row>
    <row r="2905" spans="1:14" x14ac:dyDescent="0.25">
      <c r="A2905">
        <v>23</v>
      </c>
      <c r="B2905" s="1">
        <v>44075</v>
      </c>
      <c r="C2905" t="str">
        <f t="shared" si="1187"/>
        <v>septiembre</v>
      </c>
      <c r="D2905" t="s">
        <v>56</v>
      </c>
      <c r="F2905" t="s">
        <v>267</v>
      </c>
      <c r="G2905">
        <v>1</v>
      </c>
      <c r="H2905">
        <v>170</v>
      </c>
      <c r="I2905">
        <f t="shared" si="1190"/>
        <v>170</v>
      </c>
      <c r="J2905" t="s">
        <v>163</v>
      </c>
      <c r="K2905">
        <v>123</v>
      </c>
      <c r="M2905">
        <f t="shared" si="1191"/>
        <v>123</v>
      </c>
      <c r="N2905">
        <f t="shared" si="1192"/>
        <v>47</v>
      </c>
    </row>
    <row r="2906" spans="1:14" x14ac:dyDescent="0.25">
      <c r="A2906">
        <v>24</v>
      </c>
      <c r="B2906" s="1">
        <v>44075</v>
      </c>
      <c r="C2906" t="str">
        <f t="shared" si="1187"/>
        <v>septiembre</v>
      </c>
      <c r="D2906" t="s">
        <v>25</v>
      </c>
      <c r="F2906" t="s">
        <v>127</v>
      </c>
      <c r="G2906">
        <v>1</v>
      </c>
      <c r="H2906">
        <v>60</v>
      </c>
      <c r="I2906">
        <f t="shared" si="1190"/>
        <v>60</v>
      </c>
      <c r="J2906" t="s">
        <v>165</v>
      </c>
      <c r="K2906">
        <v>34</v>
      </c>
      <c r="M2906">
        <f t="shared" si="1191"/>
        <v>34</v>
      </c>
      <c r="N2906">
        <f t="shared" si="1192"/>
        <v>26</v>
      </c>
    </row>
    <row r="2907" spans="1:14" x14ac:dyDescent="0.25">
      <c r="A2907">
        <v>25</v>
      </c>
      <c r="B2907" s="1">
        <v>44075</v>
      </c>
      <c r="C2907" t="str">
        <f t="shared" si="1187"/>
        <v>septiembre</v>
      </c>
      <c r="D2907" t="s">
        <v>85</v>
      </c>
      <c r="F2907" t="s">
        <v>474</v>
      </c>
      <c r="G2907">
        <v>1</v>
      </c>
      <c r="H2907">
        <v>900</v>
      </c>
      <c r="I2907">
        <f t="shared" si="1190"/>
        <v>900</v>
      </c>
      <c r="J2907" t="s">
        <v>163</v>
      </c>
      <c r="K2907">
        <v>480</v>
      </c>
      <c r="M2907">
        <f t="shared" si="1191"/>
        <v>480</v>
      </c>
      <c r="N2907">
        <f t="shared" si="1192"/>
        <v>420</v>
      </c>
    </row>
    <row r="2908" spans="1:14" x14ac:dyDescent="0.25">
      <c r="A2908">
        <v>26</v>
      </c>
      <c r="B2908" s="1">
        <v>44075</v>
      </c>
      <c r="C2908" t="str">
        <f t="shared" si="1187"/>
        <v>septiembre</v>
      </c>
      <c r="D2908" t="s">
        <v>55</v>
      </c>
      <c r="F2908" t="s">
        <v>408</v>
      </c>
      <c r="G2908">
        <v>1</v>
      </c>
      <c r="H2908">
        <v>300</v>
      </c>
      <c r="I2908">
        <f t="shared" si="1190"/>
        <v>300</v>
      </c>
      <c r="J2908" t="s">
        <v>167</v>
      </c>
      <c r="K2908">
        <v>268</v>
      </c>
      <c r="M2908">
        <f t="shared" si="1191"/>
        <v>268</v>
      </c>
      <c r="N2908">
        <f t="shared" si="1192"/>
        <v>32</v>
      </c>
    </row>
    <row r="2909" spans="1:14" x14ac:dyDescent="0.25">
      <c r="A2909">
        <v>27</v>
      </c>
      <c r="B2909" s="1">
        <v>44075</v>
      </c>
      <c r="C2909" t="str">
        <f t="shared" si="1187"/>
        <v>septiembre</v>
      </c>
      <c r="D2909" t="s">
        <v>55</v>
      </c>
      <c r="F2909" t="s">
        <v>454</v>
      </c>
      <c r="G2909">
        <f>5/12</f>
        <v>0.41666666666666669</v>
      </c>
      <c r="H2909">
        <v>300</v>
      </c>
      <c r="I2909">
        <f t="shared" si="1190"/>
        <v>125</v>
      </c>
      <c r="J2909" t="s">
        <v>167</v>
      </c>
      <c r="K2909">
        <v>268</v>
      </c>
      <c r="M2909">
        <f t="shared" si="1191"/>
        <v>111.66666666666667</v>
      </c>
      <c r="N2909">
        <f t="shared" si="1192"/>
        <v>13.333333333333329</v>
      </c>
    </row>
    <row r="2910" spans="1:14" x14ac:dyDescent="0.25">
      <c r="A2910">
        <v>28</v>
      </c>
      <c r="B2910" s="1">
        <v>44076</v>
      </c>
      <c r="C2910" t="str">
        <f t="shared" ref="C2910:C2973" si="1193">+TEXT(B2910,"mmmm")</f>
        <v>septiembre</v>
      </c>
      <c r="D2910" t="s">
        <v>23</v>
      </c>
      <c r="F2910" t="s">
        <v>475</v>
      </c>
      <c r="G2910">
        <v>1</v>
      </c>
      <c r="H2910">
        <v>60</v>
      </c>
      <c r="I2910">
        <f t="shared" si="1190"/>
        <v>60</v>
      </c>
      <c r="J2910" t="s">
        <v>187</v>
      </c>
      <c r="K2910">
        <v>35</v>
      </c>
      <c r="M2910">
        <f t="shared" si="1191"/>
        <v>35</v>
      </c>
      <c r="N2910">
        <f t="shared" si="1192"/>
        <v>25</v>
      </c>
    </row>
    <row r="2911" spans="1:14" x14ac:dyDescent="0.25">
      <c r="A2911">
        <v>29</v>
      </c>
      <c r="B2911" s="1">
        <v>44076</v>
      </c>
      <c r="C2911" t="str">
        <f t="shared" si="1193"/>
        <v>septiembre</v>
      </c>
      <c r="D2911" t="s">
        <v>24</v>
      </c>
      <c r="F2911" t="s">
        <v>24</v>
      </c>
      <c r="G2911">
        <v>0.5</v>
      </c>
      <c r="H2911">
        <v>100</v>
      </c>
      <c r="I2911">
        <f t="shared" si="1190"/>
        <v>50</v>
      </c>
      <c r="J2911" t="s">
        <v>186</v>
      </c>
      <c r="K2911">
        <v>80</v>
      </c>
      <c r="M2911">
        <f t="shared" si="1191"/>
        <v>40</v>
      </c>
      <c r="N2911">
        <f t="shared" si="1192"/>
        <v>10</v>
      </c>
    </row>
    <row r="2912" spans="1:14" x14ac:dyDescent="0.25">
      <c r="A2912">
        <v>30</v>
      </c>
      <c r="B2912" s="1">
        <v>44076</v>
      </c>
      <c r="C2912" t="str">
        <f t="shared" si="1193"/>
        <v>septiembre</v>
      </c>
      <c r="D2912" t="s">
        <v>26</v>
      </c>
      <c r="F2912" t="s">
        <v>47</v>
      </c>
      <c r="G2912">
        <v>5</v>
      </c>
      <c r="H2912">
        <v>350</v>
      </c>
      <c r="I2912">
        <f t="shared" si="1190"/>
        <v>1750</v>
      </c>
      <c r="J2912" t="s">
        <v>99</v>
      </c>
      <c r="K2912">
        <v>260</v>
      </c>
      <c r="M2912">
        <f t="shared" si="1191"/>
        <v>1300</v>
      </c>
      <c r="N2912">
        <f t="shared" si="1192"/>
        <v>450</v>
      </c>
    </row>
    <row r="2913" spans="1:14" x14ac:dyDescent="0.25">
      <c r="A2913">
        <v>31</v>
      </c>
      <c r="B2913" s="1">
        <v>44076</v>
      </c>
      <c r="C2913" t="str">
        <f t="shared" si="1193"/>
        <v>septiembre</v>
      </c>
      <c r="D2913" t="s">
        <v>15</v>
      </c>
      <c r="F2913" t="s">
        <v>312</v>
      </c>
      <c r="G2913">
        <v>4</v>
      </c>
      <c r="H2913">
        <v>300</v>
      </c>
      <c r="I2913">
        <f t="shared" si="1190"/>
        <v>1200</v>
      </c>
      <c r="J2913" t="s">
        <v>167</v>
      </c>
      <c r="K2913">
        <v>268</v>
      </c>
      <c r="M2913">
        <f t="shared" si="1191"/>
        <v>1072</v>
      </c>
      <c r="N2913">
        <f t="shared" si="1192"/>
        <v>128</v>
      </c>
    </row>
    <row r="2914" spans="1:14" x14ac:dyDescent="0.25">
      <c r="A2914">
        <v>32</v>
      </c>
      <c r="B2914" s="1">
        <v>44076</v>
      </c>
      <c r="C2914" t="str">
        <f t="shared" si="1193"/>
        <v>septiembre</v>
      </c>
      <c r="D2914" t="s">
        <v>15</v>
      </c>
      <c r="F2914" t="s">
        <v>312</v>
      </c>
      <c r="G2914">
        <v>12</v>
      </c>
      <c r="H2914">
        <v>300</v>
      </c>
      <c r="I2914">
        <f t="shared" si="1190"/>
        <v>3600</v>
      </c>
      <c r="J2914" t="s">
        <v>167</v>
      </c>
      <c r="K2914">
        <v>268</v>
      </c>
      <c r="M2914">
        <f t="shared" si="1191"/>
        <v>3216</v>
      </c>
      <c r="N2914">
        <f t="shared" si="1192"/>
        <v>384</v>
      </c>
    </row>
    <row r="2915" spans="1:14" x14ac:dyDescent="0.25">
      <c r="A2915">
        <v>33</v>
      </c>
      <c r="B2915" s="1">
        <v>44076</v>
      </c>
      <c r="C2915" t="str">
        <f t="shared" si="1193"/>
        <v>septiembre</v>
      </c>
      <c r="D2915" t="s">
        <v>55</v>
      </c>
      <c r="F2915" t="s">
        <v>39</v>
      </c>
      <c r="G2915">
        <v>2.82</v>
      </c>
      <c r="H2915">
        <v>300</v>
      </c>
      <c r="I2915">
        <f t="shared" si="1190"/>
        <v>846</v>
      </c>
      <c r="J2915" t="s">
        <v>167</v>
      </c>
      <c r="K2915">
        <v>268</v>
      </c>
      <c r="M2915">
        <f t="shared" si="1191"/>
        <v>755.76</v>
      </c>
      <c r="N2915">
        <f t="shared" si="1192"/>
        <v>90.240000000000009</v>
      </c>
    </row>
    <row r="2916" spans="1:14" x14ac:dyDescent="0.25">
      <c r="A2916">
        <v>34</v>
      </c>
      <c r="B2916" s="1">
        <v>44076</v>
      </c>
      <c r="C2916" t="str">
        <f t="shared" si="1193"/>
        <v>septiembre</v>
      </c>
      <c r="D2916" t="s">
        <v>56</v>
      </c>
      <c r="F2916" t="s">
        <v>176</v>
      </c>
      <c r="G2916">
        <v>1</v>
      </c>
      <c r="H2916">
        <v>260</v>
      </c>
      <c r="I2916">
        <f t="shared" si="1190"/>
        <v>260</v>
      </c>
      <c r="J2916" t="s">
        <v>163</v>
      </c>
      <c r="K2916">
        <v>200</v>
      </c>
      <c r="M2916">
        <f t="shared" si="1191"/>
        <v>200</v>
      </c>
      <c r="N2916">
        <f t="shared" si="1192"/>
        <v>60</v>
      </c>
    </row>
    <row r="2917" spans="1:14" x14ac:dyDescent="0.25">
      <c r="A2917">
        <v>35</v>
      </c>
      <c r="B2917" s="1">
        <v>44076</v>
      </c>
      <c r="C2917" t="str">
        <f t="shared" si="1193"/>
        <v>septiembre</v>
      </c>
      <c r="D2917" t="s">
        <v>15</v>
      </c>
      <c r="F2917" t="s">
        <v>20</v>
      </c>
      <c r="G2917">
        <f>6/8*1.54</f>
        <v>1.155</v>
      </c>
      <c r="H2917">
        <v>270</v>
      </c>
      <c r="I2917">
        <f t="shared" si="1190"/>
        <v>311.85000000000002</v>
      </c>
      <c r="J2917" t="s">
        <v>163</v>
      </c>
      <c r="K2917">
        <v>232</v>
      </c>
      <c r="M2917">
        <f t="shared" si="1191"/>
        <v>267.95999999999998</v>
      </c>
      <c r="N2917">
        <f t="shared" si="1192"/>
        <v>43.890000000000043</v>
      </c>
    </row>
    <row r="2918" spans="1:14" x14ac:dyDescent="0.25">
      <c r="A2918">
        <v>36</v>
      </c>
      <c r="B2918" s="1">
        <v>44076</v>
      </c>
      <c r="C2918" t="str">
        <f t="shared" si="1193"/>
        <v>septiembre</v>
      </c>
      <c r="D2918" t="s">
        <v>15</v>
      </c>
      <c r="F2918" t="s">
        <v>29</v>
      </c>
      <c r="G2918">
        <v>7</v>
      </c>
      <c r="H2918">
        <v>240</v>
      </c>
      <c r="I2918">
        <f t="shared" si="1190"/>
        <v>1680</v>
      </c>
      <c r="J2918" t="s">
        <v>163</v>
      </c>
      <c r="K2918">
        <v>211</v>
      </c>
      <c r="M2918">
        <f t="shared" si="1191"/>
        <v>1477</v>
      </c>
      <c r="N2918">
        <f t="shared" si="1192"/>
        <v>203</v>
      </c>
    </row>
    <row r="2919" spans="1:14" x14ac:dyDescent="0.25">
      <c r="A2919">
        <v>37</v>
      </c>
      <c r="B2919" s="1">
        <v>44076</v>
      </c>
      <c r="C2919" t="str">
        <f t="shared" si="1193"/>
        <v>septiembre</v>
      </c>
      <c r="D2919" t="s">
        <v>24</v>
      </c>
      <c r="F2919" t="s">
        <v>24</v>
      </c>
      <c r="G2919">
        <v>1</v>
      </c>
      <c r="H2919">
        <v>100</v>
      </c>
      <c r="I2919">
        <f t="shared" si="1190"/>
        <v>100</v>
      </c>
      <c r="J2919" t="s">
        <v>186</v>
      </c>
      <c r="K2919">
        <v>80</v>
      </c>
      <c r="M2919">
        <f t="shared" si="1191"/>
        <v>80</v>
      </c>
      <c r="N2919">
        <f t="shared" si="1192"/>
        <v>20</v>
      </c>
    </row>
    <row r="2920" spans="1:14" x14ac:dyDescent="0.25">
      <c r="A2920">
        <v>38</v>
      </c>
      <c r="B2920" s="1">
        <v>44077</v>
      </c>
      <c r="C2920" t="str">
        <f t="shared" si="1193"/>
        <v>septiembre</v>
      </c>
      <c r="D2920" t="s">
        <v>15</v>
      </c>
      <c r="F2920" t="s">
        <v>397</v>
      </c>
      <c r="G2920">
        <v>18</v>
      </c>
      <c r="H2920">
        <v>235</v>
      </c>
      <c r="I2920">
        <f t="shared" si="1190"/>
        <v>4230</v>
      </c>
      <c r="J2920" t="s">
        <v>167</v>
      </c>
      <c r="K2920">
        <v>219</v>
      </c>
      <c r="M2920">
        <f t="shared" si="1191"/>
        <v>3942</v>
      </c>
      <c r="N2920">
        <f t="shared" si="1192"/>
        <v>288</v>
      </c>
    </row>
    <row r="2921" spans="1:14" x14ac:dyDescent="0.25">
      <c r="A2921">
        <v>39</v>
      </c>
      <c r="B2921" s="1">
        <v>44077</v>
      </c>
      <c r="C2921" t="str">
        <f t="shared" si="1193"/>
        <v>septiembre</v>
      </c>
      <c r="D2921" t="s">
        <v>25</v>
      </c>
      <c r="F2921" t="s">
        <v>127</v>
      </c>
      <c r="G2921">
        <v>1</v>
      </c>
      <c r="H2921">
        <v>60</v>
      </c>
      <c r="I2921">
        <f t="shared" si="1190"/>
        <v>60</v>
      </c>
      <c r="J2921" t="s">
        <v>165</v>
      </c>
      <c r="K2921">
        <v>34</v>
      </c>
      <c r="M2921">
        <f t="shared" si="1191"/>
        <v>34</v>
      </c>
      <c r="N2921">
        <f t="shared" si="1192"/>
        <v>26</v>
      </c>
    </row>
    <row r="2922" spans="1:14" x14ac:dyDescent="0.25">
      <c r="A2922">
        <v>40</v>
      </c>
      <c r="B2922" s="1">
        <v>44077</v>
      </c>
      <c r="C2922" t="str">
        <f t="shared" si="1193"/>
        <v>septiembre</v>
      </c>
      <c r="D2922" t="s">
        <v>15</v>
      </c>
      <c r="F2922" t="s">
        <v>391</v>
      </c>
      <c r="G2922">
        <v>1</v>
      </c>
      <c r="H2922">
        <v>250</v>
      </c>
      <c r="I2922">
        <f t="shared" si="1190"/>
        <v>250</v>
      </c>
      <c r="J2922" t="s">
        <v>167</v>
      </c>
      <c r="K2922">
        <v>219</v>
      </c>
      <c r="M2922">
        <f t="shared" si="1191"/>
        <v>219</v>
      </c>
      <c r="N2922">
        <f t="shared" si="1192"/>
        <v>31</v>
      </c>
    </row>
    <row r="2923" spans="1:14" x14ac:dyDescent="0.25">
      <c r="A2923">
        <v>41</v>
      </c>
      <c r="B2923" s="1">
        <v>44077</v>
      </c>
      <c r="C2923" t="str">
        <f t="shared" si="1193"/>
        <v>septiembre</v>
      </c>
      <c r="D2923" t="s">
        <v>44</v>
      </c>
      <c r="F2923" t="s">
        <v>138</v>
      </c>
      <c r="G2923">
        <v>1</v>
      </c>
      <c r="H2923">
        <v>35</v>
      </c>
      <c r="I2923">
        <f t="shared" si="1190"/>
        <v>35</v>
      </c>
      <c r="J2923" t="s">
        <v>198</v>
      </c>
      <c r="K2923">
        <v>26</v>
      </c>
      <c r="M2923">
        <f t="shared" si="1191"/>
        <v>26</v>
      </c>
      <c r="N2923">
        <f t="shared" si="1192"/>
        <v>9</v>
      </c>
    </row>
    <row r="2924" spans="1:14" x14ac:dyDescent="0.25">
      <c r="A2924">
        <v>42</v>
      </c>
      <c r="B2924" s="1">
        <v>44077</v>
      </c>
      <c r="C2924" t="str">
        <f t="shared" si="1193"/>
        <v>septiembre</v>
      </c>
      <c r="D2924" t="s">
        <v>25</v>
      </c>
      <c r="F2924" t="s">
        <v>61</v>
      </c>
      <c r="G2924">
        <v>1</v>
      </c>
      <c r="H2924">
        <v>60</v>
      </c>
      <c r="I2924">
        <f t="shared" si="1190"/>
        <v>60</v>
      </c>
      <c r="J2924" t="s">
        <v>165</v>
      </c>
      <c r="K2924">
        <v>34</v>
      </c>
      <c r="M2924">
        <f t="shared" si="1191"/>
        <v>34</v>
      </c>
      <c r="N2924">
        <f t="shared" si="1192"/>
        <v>26</v>
      </c>
    </row>
    <row r="2925" spans="1:14" x14ac:dyDescent="0.25">
      <c r="A2925">
        <v>43</v>
      </c>
      <c r="B2925" s="1">
        <v>44077</v>
      </c>
      <c r="C2925" t="str">
        <f t="shared" si="1193"/>
        <v>septiembre</v>
      </c>
      <c r="D2925" t="s">
        <v>15</v>
      </c>
      <c r="F2925" t="s">
        <v>462</v>
      </c>
      <c r="G2925">
        <v>18</v>
      </c>
      <c r="H2925">
        <v>250</v>
      </c>
      <c r="I2925">
        <f t="shared" si="1190"/>
        <v>4500</v>
      </c>
      <c r="J2925" t="s">
        <v>163</v>
      </c>
      <c r="K2925">
        <v>220</v>
      </c>
      <c r="M2925">
        <f t="shared" si="1191"/>
        <v>3960</v>
      </c>
      <c r="N2925">
        <f t="shared" si="1192"/>
        <v>540</v>
      </c>
    </row>
    <row r="2926" spans="1:14" x14ac:dyDescent="0.25">
      <c r="A2926">
        <v>44</v>
      </c>
      <c r="B2926" s="1">
        <v>44077</v>
      </c>
      <c r="C2926" t="str">
        <f t="shared" si="1193"/>
        <v>septiembre</v>
      </c>
      <c r="D2926" t="s">
        <v>44</v>
      </c>
      <c r="F2926" t="s">
        <v>138</v>
      </c>
      <c r="G2926">
        <v>2</v>
      </c>
      <c r="H2926">
        <v>35</v>
      </c>
      <c r="I2926">
        <f t="shared" si="1190"/>
        <v>70</v>
      </c>
      <c r="J2926" t="s">
        <v>198</v>
      </c>
      <c r="K2926">
        <v>26</v>
      </c>
      <c r="M2926">
        <f t="shared" si="1191"/>
        <v>52</v>
      </c>
      <c r="N2926">
        <f t="shared" si="1192"/>
        <v>18</v>
      </c>
    </row>
    <row r="2927" spans="1:14" x14ac:dyDescent="0.25">
      <c r="A2927">
        <v>45</v>
      </c>
      <c r="B2927" s="1">
        <v>44077</v>
      </c>
      <c r="C2927" t="str">
        <f t="shared" si="1193"/>
        <v>septiembre</v>
      </c>
      <c r="D2927" t="s">
        <v>25</v>
      </c>
      <c r="F2927" t="s">
        <v>83</v>
      </c>
      <c r="G2927">
        <v>2</v>
      </c>
      <c r="H2927">
        <v>60</v>
      </c>
      <c r="I2927">
        <f t="shared" si="1190"/>
        <v>120</v>
      </c>
      <c r="J2927" t="s">
        <v>165</v>
      </c>
      <c r="K2927">
        <v>34</v>
      </c>
      <c r="M2927">
        <f t="shared" si="1191"/>
        <v>68</v>
      </c>
      <c r="N2927">
        <f t="shared" si="1192"/>
        <v>52</v>
      </c>
    </row>
    <row r="2928" spans="1:14" x14ac:dyDescent="0.25">
      <c r="A2928">
        <v>46</v>
      </c>
      <c r="B2928" s="1">
        <v>44077</v>
      </c>
      <c r="C2928" t="str">
        <f t="shared" si="1193"/>
        <v>septiembre</v>
      </c>
      <c r="D2928" t="s">
        <v>15</v>
      </c>
      <c r="F2928" t="s">
        <v>20</v>
      </c>
      <c r="G2928">
        <f>4/8*1.54</f>
        <v>0.77</v>
      </c>
      <c r="H2928">
        <v>270</v>
      </c>
      <c r="I2928">
        <f t="shared" si="1190"/>
        <v>207.9</v>
      </c>
      <c r="J2928" t="s">
        <v>163</v>
      </c>
      <c r="K2928">
        <v>232</v>
      </c>
      <c r="M2928">
        <f t="shared" si="1191"/>
        <v>178.64000000000001</v>
      </c>
      <c r="N2928">
        <f t="shared" si="1192"/>
        <v>29.259999999999991</v>
      </c>
    </row>
    <row r="2929" spans="1:14" x14ac:dyDescent="0.25">
      <c r="A2929">
        <v>47</v>
      </c>
      <c r="B2929" s="1">
        <v>44077</v>
      </c>
      <c r="C2929" t="str">
        <f t="shared" si="1193"/>
        <v>septiembre</v>
      </c>
      <c r="D2929" t="s">
        <v>25</v>
      </c>
      <c r="F2929" t="s">
        <v>148</v>
      </c>
      <c r="G2929">
        <v>1</v>
      </c>
      <c r="H2929">
        <v>60</v>
      </c>
      <c r="I2929">
        <f t="shared" si="1190"/>
        <v>60</v>
      </c>
      <c r="J2929" t="s">
        <v>165</v>
      </c>
      <c r="K2929">
        <v>34</v>
      </c>
      <c r="M2929">
        <f t="shared" si="1191"/>
        <v>34</v>
      </c>
      <c r="N2929">
        <f t="shared" si="1192"/>
        <v>26</v>
      </c>
    </row>
    <row r="2930" spans="1:14" x14ac:dyDescent="0.25">
      <c r="A2930">
        <v>48</v>
      </c>
      <c r="B2930" s="1">
        <v>44077</v>
      </c>
      <c r="C2930" t="str">
        <f t="shared" si="1193"/>
        <v>septiembre</v>
      </c>
      <c r="D2930" t="s">
        <v>15</v>
      </c>
      <c r="F2930" t="s">
        <v>391</v>
      </c>
      <c r="G2930">
        <v>2.5</v>
      </c>
      <c r="H2930">
        <v>250</v>
      </c>
      <c r="I2930">
        <f t="shared" si="1190"/>
        <v>625</v>
      </c>
      <c r="J2930" t="s">
        <v>167</v>
      </c>
      <c r="K2930">
        <v>219</v>
      </c>
      <c r="M2930">
        <f t="shared" si="1191"/>
        <v>547.5</v>
      </c>
      <c r="N2930">
        <f t="shared" si="1192"/>
        <v>77.5</v>
      </c>
    </row>
    <row r="2931" spans="1:14" x14ac:dyDescent="0.25">
      <c r="A2931">
        <v>49</v>
      </c>
      <c r="B2931" s="1">
        <v>44077</v>
      </c>
      <c r="C2931" t="str">
        <f t="shared" si="1193"/>
        <v>septiembre</v>
      </c>
      <c r="D2931" t="s">
        <v>23</v>
      </c>
      <c r="F2931" t="s">
        <v>475</v>
      </c>
      <c r="G2931">
        <v>1</v>
      </c>
      <c r="H2931">
        <v>60</v>
      </c>
      <c r="I2931">
        <f t="shared" si="1190"/>
        <v>60</v>
      </c>
      <c r="J2931" t="s">
        <v>187</v>
      </c>
      <c r="K2931">
        <v>35</v>
      </c>
      <c r="M2931">
        <f t="shared" si="1191"/>
        <v>35</v>
      </c>
      <c r="N2931">
        <f t="shared" si="1192"/>
        <v>25</v>
      </c>
    </row>
    <row r="2932" spans="1:14" x14ac:dyDescent="0.25">
      <c r="A2932">
        <v>50</v>
      </c>
      <c r="B2932" s="1">
        <v>44077</v>
      </c>
      <c r="C2932" t="str">
        <f t="shared" si="1193"/>
        <v>septiembre</v>
      </c>
      <c r="D2932" t="s">
        <v>26</v>
      </c>
      <c r="F2932" t="s">
        <v>47</v>
      </c>
      <c r="G2932">
        <v>12</v>
      </c>
      <c r="H2932">
        <v>350</v>
      </c>
      <c r="I2932">
        <f t="shared" si="1190"/>
        <v>4200</v>
      </c>
      <c r="J2932" t="s">
        <v>99</v>
      </c>
      <c r="K2932">
        <v>260</v>
      </c>
      <c r="M2932">
        <f t="shared" si="1191"/>
        <v>3120</v>
      </c>
      <c r="N2932">
        <f t="shared" si="1192"/>
        <v>1080</v>
      </c>
    </row>
    <row r="2933" spans="1:14" x14ac:dyDescent="0.25">
      <c r="A2933">
        <v>51</v>
      </c>
      <c r="B2933" s="1">
        <v>44077</v>
      </c>
      <c r="C2933" t="str">
        <f t="shared" si="1193"/>
        <v>septiembre</v>
      </c>
      <c r="D2933" t="s">
        <v>15</v>
      </c>
      <c r="F2933" t="s">
        <v>33</v>
      </c>
      <c r="G2933">
        <v>22</v>
      </c>
      <c r="H2933">
        <v>250</v>
      </c>
      <c r="I2933">
        <f t="shared" si="1190"/>
        <v>5500</v>
      </c>
      <c r="J2933" t="s">
        <v>163</v>
      </c>
      <c r="K2933">
        <v>220</v>
      </c>
      <c r="M2933">
        <f t="shared" si="1191"/>
        <v>4840</v>
      </c>
      <c r="N2933">
        <f t="shared" si="1192"/>
        <v>660</v>
      </c>
    </row>
    <row r="2934" spans="1:14" x14ac:dyDescent="0.25">
      <c r="A2934">
        <v>52</v>
      </c>
      <c r="B2934" s="1">
        <v>44077</v>
      </c>
      <c r="C2934" t="str">
        <f t="shared" si="1193"/>
        <v>septiembre</v>
      </c>
      <c r="D2934" t="s">
        <v>25</v>
      </c>
      <c r="F2934" t="s">
        <v>83</v>
      </c>
      <c r="G2934">
        <v>3</v>
      </c>
      <c r="H2934">
        <v>60</v>
      </c>
      <c r="I2934">
        <f t="shared" si="1190"/>
        <v>180</v>
      </c>
      <c r="J2934" t="s">
        <v>165</v>
      </c>
      <c r="K2934">
        <v>34</v>
      </c>
      <c r="M2934">
        <f t="shared" si="1191"/>
        <v>102</v>
      </c>
      <c r="N2934">
        <f t="shared" si="1192"/>
        <v>78</v>
      </c>
    </row>
    <row r="2935" spans="1:14" x14ac:dyDescent="0.25">
      <c r="A2935">
        <v>53</v>
      </c>
      <c r="B2935" s="1">
        <v>44077</v>
      </c>
      <c r="C2935" t="str">
        <f t="shared" si="1193"/>
        <v>septiembre</v>
      </c>
      <c r="D2935" t="s">
        <v>56</v>
      </c>
      <c r="F2935" t="s">
        <v>267</v>
      </c>
      <c r="G2935">
        <v>8</v>
      </c>
      <c r="H2935">
        <v>170</v>
      </c>
      <c r="I2935">
        <f t="shared" si="1190"/>
        <v>1360</v>
      </c>
      <c r="J2935" t="s">
        <v>163</v>
      </c>
      <c r="K2935">
        <v>123</v>
      </c>
      <c r="M2935">
        <f t="shared" si="1191"/>
        <v>984</v>
      </c>
      <c r="N2935">
        <f t="shared" si="1192"/>
        <v>376</v>
      </c>
    </row>
    <row r="2936" spans="1:14" x14ac:dyDescent="0.25">
      <c r="A2936">
        <v>54</v>
      </c>
      <c r="B2936" s="1">
        <v>44077</v>
      </c>
      <c r="C2936" t="str">
        <f t="shared" si="1193"/>
        <v>septiembre</v>
      </c>
      <c r="D2936" t="s">
        <v>15</v>
      </c>
      <c r="F2936" t="s">
        <v>28</v>
      </c>
      <c r="G2936">
        <v>3.55</v>
      </c>
      <c r="H2936">
        <v>240</v>
      </c>
      <c r="I2936">
        <f t="shared" si="1190"/>
        <v>852</v>
      </c>
      <c r="J2936" t="s">
        <v>163</v>
      </c>
      <c r="K2936">
        <v>217</v>
      </c>
      <c r="M2936">
        <f t="shared" si="1191"/>
        <v>770.34999999999991</v>
      </c>
      <c r="N2936">
        <f t="shared" si="1192"/>
        <v>81.650000000000091</v>
      </c>
    </row>
    <row r="2937" spans="1:14" x14ac:dyDescent="0.25">
      <c r="A2937">
        <v>55</v>
      </c>
      <c r="B2937" s="1">
        <v>44077</v>
      </c>
      <c r="C2937" t="str">
        <f t="shared" si="1193"/>
        <v>septiembre</v>
      </c>
      <c r="D2937" t="s">
        <v>15</v>
      </c>
      <c r="F2937" t="s">
        <v>19</v>
      </c>
      <c r="G2937">
        <f>2+3/9</f>
        <v>2.3333333333333335</v>
      </c>
      <c r="H2937">
        <v>300</v>
      </c>
      <c r="I2937">
        <f t="shared" si="1190"/>
        <v>700</v>
      </c>
      <c r="J2937" t="s">
        <v>167</v>
      </c>
      <c r="K2937">
        <v>268</v>
      </c>
      <c r="M2937">
        <f t="shared" si="1191"/>
        <v>625.33333333333337</v>
      </c>
      <c r="N2937">
        <f t="shared" si="1192"/>
        <v>74.666666666666629</v>
      </c>
    </row>
    <row r="2938" spans="1:14" x14ac:dyDescent="0.25">
      <c r="A2938">
        <v>56</v>
      </c>
      <c r="B2938" s="1">
        <v>44077</v>
      </c>
      <c r="C2938" t="str">
        <f t="shared" si="1193"/>
        <v>septiembre</v>
      </c>
      <c r="D2938" t="s">
        <v>15</v>
      </c>
      <c r="F2938" t="s">
        <v>468</v>
      </c>
      <c r="G2938">
        <f>1/4.9</f>
        <v>0.2040816326530612</v>
      </c>
      <c r="H2938">
        <v>380</v>
      </c>
      <c r="I2938">
        <f t="shared" si="1190"/>
        <v>77.551020408163254</v>
      </c>
      <c r="J2938" t="s">
        <v>167</v>
      </c>
      <c r="K2938">
        <v>290</v>
      </c>
      <c r="M2938">
        <f t="shared" si="1191"/>
        <v>59.183673469387749</v>
      </c>
      <c r="N2938">
        <f t="shared" si="1192"/>
        <v>18.367346938775505</v>
      </c>
    </row>
    <row r="2939" spans="1:14" x14ac:dyDescent="0.25">
      <c r="A2939">
        <v>57</v>
      </c>
      <c r="B2939" s="1">
        <v>44077</v>
      </c>
      <c r="C2939" t="str">
        <f t="shared" si="1193"/>
        <v>septiembre</v>
      </c>
      <c r="D2939" t="s">
        <v>25</v>
      </c>
      <c r="F2939" t="s">
        <v>127</v>
      </c>
      <c r="G2939">
        <v>1</v>
      </c>
      <c r="H2939">
        <v>60</v>
      </c>
      <c r="I2939">
        <f t="shared" ref="I2939:I3004" si="1194">+G2939*H2939</f>
        <v>60</v>
      </c>
      <c r="J2939" t="s">
        <v>165</v>
      </c>
      <c r="K2939">
        <v>34</v>
      </c>
      <c r="M2939">
        <f t="shared" si="1191"/>
        <v>34</v>
      </c>
      <c r="N2939">
        <f t="shared" si="1192"/>
        <v>26</v>
      </c>
    </row>
    <row r="2940" spans="1:14" x14ac:dyDescent="0.25">
      <c r="A2940">
        <v>58</v>
      </c>
      <c r="B2940" s="1">
        <v>44077</v>
      </c>
      <c r="C2940" t="str">
        <f t="shared" si="1193"/>
        <v>septiembre</v>
      </c>
      <c r="D2940" t="s">
        <v>15</v>
      </c>
      <c r="F2940" t="s">
        <v>20</v>
      </c>
      <c r="G2940">
        <v>17</v>
      </c>
      <c r="H2940">
        <v>270</v>
      </c>
      <c r="I2940">
        <f t="shared" si="1194"/>
        <v>4590</v>
      </c>
      <c r="J2940" t="s">
        <v>163</v>
      </c>
      <c r="K2940">
        <v>232</v>
      </c>
      <c r="M2940">
        <f t="shared" si="1191"/>
        <v>3944</v>
      </c>
      <c r="N2940">
        <f t="shared" si="1192"/>
        <v>646</v>
      </c>
    </row>
    <row r="2941" spans="1:14" x14ac:dyDescent="0.25">
      <c r="A2941">
        <v>59</v>
      </c>
      <c r="B2941" s="1">
        <v>44077</v>
      </c>
      <c r="C2941" t="str">
        <f t="shared" si="1193"/>
        <v>septiembre</v>
      </c>
      <c r="D2941" t="s">
        <v>44</v>
      </c>
      <c r="F2941" t="s">
        <v>138</v>
      </c>
      <c r="G2941">
        <v>1</v>
      </c>
      <c r="H2941">
        <v>35</v>
      </c>
      <c r="I2941">
        <f t="shared" si="1194"/>
        <v>35</v>
      </c>
      <c r="J2941" t="s">
        <v>198</v>
      </c>
      <c r="K2941">
        <v>26</v>
      </c>
      <c r="M2941">
        <f t="shared" si="1191"/>
        <v>26</v>
      </c>
      <c r="N2941">
        <f t="shared" si="1192"/>
        <v>9</v>
      </c>
    </row>
    <row r="2942" spans="1:14" x14ac:dyDescent="0.25">
      <c r="A2942">
        <v>60</v>
      </c>
      <c r="B2942" s="1">
        <v>44077</v>
      </c>
      <c r="C2942" t="str">
        <f t="shared" si="1193"/>
        <v>septiembre</v>
      </c>
      <c r="D2942" t="s">
        <v>25</v>
      </c>
      <c r="F2942" t="s">
        <v>61</v>
      </c>
      <c r="G2942">
        <v>2</v>
      </c>
      <c r="H2942">
        <v>60</v>
      </c>
      <c r="I2942">
        <f t="shared" si="1194"/>
        <v>120</v>
      </c>
      <c r="J2942" t="s">
        <v>165</v>
      </c>
      <c r="K2942">
        <v>34</v>
      </c>
      <c r="M2942">
        <f t="shared" si="1191"/>
        <v>68</v>
      </c>
      <c r="N2942">
        <f t="shared" si="1192"/>
        <v>52</v>
      </c>
    </row>
    <row r="2943" spans="1:14" x14ac:dyDescent="0.25">
      <c r="A2943">
        <v>61</v>
      </c>
      <c r="B2943" s="1">
        <v>44077</v>
      </c>
      <c r="C2943" t="str">
        <f t="shared" si="1193"/>
        <v>septiembre</v>
      </c>
      <c r="D2943" t="s">
        <v>56</v>
      </c>
      <c r="F2943" t="s">
        <v>267</v>
      </c>
      <c r="G2943">
        <v>5</v>
      </c>
      <c r="H2943">
        <v>170</v>
      </c>
      <c r="I2943">
        <f t="shared" si="1194"/>
        <v>850</v>
      </c>
      <c r="J2943" t="s">
        <v>163</v>
      </c>
      <c r="K2943">
        <v>123</v>
      </c>
      <c r="M2943">
        <f t="shared" si="1191"/>
        <v>615</v>
      </c>
      <c r="N2943">
        <f t="shared" si="1192"/>
        <v>235</v>
      </c>
    </row>
    <row r="2944" spans="1:14" x14ac:dyDescent="0.25">
      <c r="A2944">
        <v>62</v>
      </c>
      <c r="B2944" s="1">
        <v>44077</v>
      </c>
      <c r="C2944" t="str">
        <f t="shared" si="1193"/>
        <v>septiembre</v>
      </c>
      <c r="D2944" t="s">
        <v>15</v>
      </c>
      <c r="F2944" t="s">
        <v>29</v>
      </c>
      <c r="G2944">
        <v>27</v>
      </c>
      <c r="H2944">
        <v>240</v>
      </c>
      <c r="I2944">
        <f t="shared" si="1194"/>
        <v>6480</v>
      </c>
      <c r="J2944" t="s">
        <v>163</v>
      </c>
      <c r="K2944">
        <v>211</v>
      </c>
      <c r="M2944">
        <f t="shared" si="1191"/>
        <v>5697</v>
      </c>
      <c r="N2944">
        <f t="shared" si="1192"/>
        <v>783</v>
      </c>
    </row>
    <row r="2945" spans="1:14" x14ac:dyDescent="0.25">
      <c r="A2945">
        <v>63</v>
      </c>
      <c r="B2945" s="1">
        <v>44077</v>
      </c>
      <c r="C2945" t="str">
        <f t="shared" si="1193"/>
        <v>septiembre</v>
      </c>
      <c r="D2945" t="s">
        <v>24</v>
      </c>
      <c r="F2945" t="s">
        <v>24</v>
      </c>
      <c r="G2945">
        <v>1.6</v>
      </c>
      <c r="H2945">
        <v>100</v>
      </c>
      <c r="I2945">
        <f t="shared" si="1194"/>
        <v>160</v>
      </c>
      <c r="J2945" t="s">
        <v>186</v>
      </c>
      <c r="K2945">
        <v>80</v>
      </c>
      <c r="M2945">
        <f t="shared" si="1191"/>
        <v>128</v>
      </c>
      <c r="N2945">
        <f t="shared" si="1192"/>
        <v>32</v>
      </c>
    </row>
    <row r="2946" spans="1:14" x14ac:dyDescent="0.25">
      <c r="A2946">
        <v>64</v>
      </c>
      <c r="B2946" s="1">
        <v>44077</v>
      </c>
      <c r="C2946" t="str">
        <f t="shared" si="1193"/>
        <v>septiembre</v>
      </c>
      <c r="D2946" t="s">
        <v>25</v>
      </c>
      <c r="F2946" t="s">
        <v>142</v>
      </c>
      <c r="G2946">
        <v>4</v>
      </c>
      <c r="H2946">
        <v>60</v>
      </c>
      <c r="I2946">
        <f t="shared" si="1194"/>
        <v>240</v>
      </c>
      <c r="J2946" t="s">
        <v>165</v>
      </c>
      <c r="K2946">
        <v>34</v>
      </c>
      <c r="M2946">
        <f t="shared" ref="M2946:M3011" si="1195">+IF(K2946=0,(""),(K2946*G2946))</f>
        <v>136</v>
      </c>
      <c r="N2946">
        <f t="shared" ref="N2946:N3011" si="1196">+IF(K2946=0,(""),(I2946-M2946))</f>
        <v>104</v>
      </c>
    </row>
    <row r="2947" spans="1:14" x14ac:dyDescent="0.25">
      <c r="A2947">
        <v>65</v>
      </c>
      <c r="B2947" s="1">
        <v>44077</v>
      </c>
      <c r="C2947" t="str">
        <f t="shared" si="1193"/>
        <v>septiembre</v>
      </c>
      <c r="D2947" t="s">
        <v>44</v>
      </c>
      <c r="F2947" t="s">
        <v>138</v>
      </c>
      <c r="G2947">
        <v>1</v>
      </c>
      <c r="H2947">
        <v>35</v>
      </c>
      <c r="I2947">
        <f t="shared" si="1194"/>
        <v>35</v>
      </c>
      <c r="J2947" t="s">
        <v>198</v>
      </c>
      <c r="K2947">
        <v>26</v>
      </c>
      <c r="M2947">
        <f t="shared" si="1195"/>
        <v>26</v>
      </c>
      <c r="N2947">
        <f t="shared" si="1196"/>
        <v>9</v>
      </c>
    </row>
    <row r="2948" spans="1:14" x14ac:dyDescent="0.25">
      <c r="A2948">
        <v>66</v>
      </c>
      <c r="B2948" s="1">
        <v>44078</v>
      </c>
      <c r="C2948" t="str">
        <f t="shared" si="1193"/>
        <v>septiembre</v>
      </c>
      <c r="D2948" t="s">
        <v>26</v>
      </c>
      <c r="F2948" t="s">
        <v>144</v>
      </c>
      <c r="G2948">
        <f>3/4*1.44</f>
        <v>1.08</v>
      </c>
      <c r="H2948">
        <v>400</v>
      </c>
      <c r="I2948">
        <f t="shared" si="1194"/>
        <v>432</v>
      </c>
      <c r="J2948" t="s">
        <v>99</v>
      </c>
      <c r="K2948">
        <v>360</v>
      </c>
      <c r="M2948">
        <f t="shared" si="1195"/>
        <v>388.8</v>
      </c>
      <c r="N2948">
        <f t="shared" si="1196"/>
        <v>43.199999999999989</v>
      </c>
    </row>
    <row r="2949" spans="1:14" x14ac:dyDescent="0.25">
      <c r="A2949">
        <v>67</v>
      </c>
      <c r="B2949" s="1">
        <v>44078</v>
      </c>
      <c r="C2949" t="str">
        <f t="shared" si="1193"/>
        <v>septiembre</v>
      </c>
      <c r="D2949" t="s">
        <v>70</v>
      </c>
      <c r="F2949" t="s">
        <v>227</v>
      </c>
      <c r="G2949">
        <v>1</v>
      </c>
      <c r="H2949">
        <v>1650</v>
      </c>
      <c r="I2949">
        <f t="shared" si="1194"/>
        <v>1650</v>
      </c>
      <c r="J2949" t="s">
        <v>167</v>
      </c>
      <c r="K2949">
        <v>1440</v>
      </c>
      <c r="M2949">
        <f t="shared" si="1195"/>
        <v>1440</v>
      </c>
      <c r="N2949">
        <f t="shared" si="1196"/>
        <v>210</v>
      </c>
    </row>
    <row r="2950" spans="1:14" x14ac:dyDescent="0.25">
      <c r="A2950">
        <v>68</v>
      </c>
      <c r="B2950" s="1">
        <v>44078</v>
      </c>
      <c r="C2950" t="str">
        <f t="shared" si="1193"/>
        <v>septiembre</v>
      </c>
      <c r="D2950" t="s">
        <v>25</v>
      </c>
      <c r="F2950" t="s">
        <v>142</v>
      </c>
      <c r="G2950">
        <v>3</v>
      </c>
      <c r="H2950">
        <v>60</v>
      </c>
      <c r="I2950">
        <f t="shared" si="1194"/>
        <v>180</v>
      </c>
      <c r="J2950" t="s">
        <v>165</v>
      </c>
      <c r="K2950">
        <v>34</v>
      </c>
      <c r="M2950">
        <f t="shared" si="1195"/>
        <v>102</v>
      </c>
      <c r="N2950">
        <f t="shared" si="1196"/>
        <v>78</v>
      </c>
    </row>
    <row r="2951" spans="1:14" x14ac:dyDescent="0.25">
      <c r="A2951">
        <v>69</v>
      </c>
      <c r="B2951" s="1">
        <v>44078</v>
      </c>
      <c r="C2951" t="str">
        <f t="shared" si="1193"/>
        <v>septiembre</v>
      </c>
      <c r="D2951" t="s">
        <v>25</v>
      </c>
      <c r="F2951" t="s">
        <v>142</v>
      </c>
      <c r="G2951">
        <v>1</v>
      </c>
      <c r="H2951">
        <v>60</v>
      </c>
      <c r="I2951">
        <f t="shared" si="1194"/>
        <v>60</v>
      </c>
      <c r="J2951" t="s">
        <v>165</v>
      </c>
      <c r="K2951">
        <v>34</v>
      </c>
      <c r="M2951">
        <f t="shared" si="1195"/>
        <v>34</v>
      </c>
      <c r="N2951">
        <f t="shared" si="1196"/>
        <v>26</v>
      </c>
    </row>
    <row r="2952" spans="1:14" x14ac:dyDescent="0.25">
      <c r="A2952">
        <v>70</v>
      </c>
      <c r="B2952" s="1">
        <v>44078</v>
      </c>
      <c r="C2952" t="str">
        <f t="shared" si="1193"/>
        <v>septiembre</v>
      </c>
      <c r="D2952" t="s">
        <v>25</v>
      </c>
      <c r="F2952" t="s">
        <v>127</v>
      </c>
      <c r="G2952">
        <v>1</v>
      </c>
      <c r="H2952">
        <v>60</v>
      </c>
      <c r="I2952">
        <f t="shared" si="1194"/>
        <v>60</v>
      </c>
      <c r="J2952" t="s">
        <v>165</v>
      </c>
      <c r="K2952">
        <v>34</v>
      </c>
      <c r="M2952">
        <f t="shared" si="1195"/>
        <v>34</v>
      </c>
      <c r="N2952">
        <f t="shared" si="1196"/>
        <v>26</v>
      </c>
    </row>
    <row r="2953" spans="1:14" x14ac:dyDescent="0.25">
      <c r="A2953">
        <v>71</v>
      </c>
      <c r="B2953" s="1">
        <v>44078</v>
      </c>
      <c r="C2953" t="str">
        <f t="shared" si="1193"/>
        <v>septiembre</v>
      </c>
      <c r="D2953" t="s">
        <v>15</v>
      </c>
      <c r="F2953" t="s">
        <v>31</v>
      </c>
      <c r="G2953">
        <v>2</v>
      </c>
      <c r="H2953">
        <v>280</v>
      </c>
      <c r="I2953">
        <f t="shared" si="1194"/>
        <v>560</v>
      </c>
      <c r="J2953" t="s">
        <v>163</v>
      </c>
      <c r="K2953">
        <v>243</v>
      </c>
      <c r="M2953">
        <f t="shared" si="1195"/>
        <v>486</v>
      </c>
      <c r="N2953">
        <f t="shared" si="1196"/>
        <v>74</v>
      </c>
    </row>
    <row r="2954" spans="1:14" x14ac:dyDescent="0.25">
      <c r="A2954">
        <v>72</v>
      </c>
      <c r="B2954" s="1">
        <v>44078</v>
      </c>
      <c r="C2954" t="str">
        <f t="shared" si="1193"/>
        <v>septiembre</v>
      </c>
      <c r="D2954" t="s">
        <v>25</v>
      </c>
      <c r="F2954" t="s">
        <v>83</v>
      </c>
      <c r="G2954">
        <v>1</v>
      </c>
      <c r="H2954">
        <v>60</v>
      </c>
      <c r="I2954">
        <f t="shared" si="1194"/>
        <v>60</v>
      </c>
      <c r="J2954" t="s">
        <v>165</v>
      </c>
      <c r="K2954">
        <v>34</v>
      </c>
      <c r="M2954">
        <f t="shared" si="1195"/>
        <v>34</v>
      </c>
      <c r="N2954">
        <f t="shared" si="1196"/>
        <v>26</v>
      </c>
    </row>
    <row r="2955" spans="1:14" x14ac:dyDescent="0.25">
      <c r="A2955">
        <v>73</v>
      </c>
      <c r="B2955" s="1">
        <v>44078</v>
      </c>
      <c r="C2955" t="str">
        <f t="shared" si="1193"/>
        <v>septiembre</v>
      </c>
      <c r="D2955" t="s">
        <v>92</v>
      </c>
      <c r="F2955" t="s">
        <v>476</v>
      </c>
      <c r="G2955">
        <v>1</v>
      </c>
      <c r="H2955">
        <v>150</v>
      </c>
      <c r="I2955">
        <f t="shared" si="1194"/>
        <v>150</v>
      </c>
      <c r="J2955" t="s">
        <v>166</v>
      </c>
      <c r="K2955">
        <v>100</v>
      </c>
      <c r="M2955">
        <f t="shared" si="1195"/>
        <v>100</v>
      </c>
      <c r="N2955">
        <f t="shared" si="1196"/>
        <v>50</v>
      </c>
    </row>
    <row r="2956" spans="1:14" x14ac:dyDescent="0.25">
      <c r="A2956">
        <v>74</v>
      </c>
      <c r="B2956" s="1">
        <v>44078</v>
      </c>
      <c r="C2956" t="str">
        <f t="shared" si="1193"/>
        <v>septiembre</v>
      </c>
      <c r="D2956" t="s">
        <v>15</v>
      </c>
      <c r="F2956" t="s">
        <v>20</v>
      </c>
      <c r="G2956">
        <v>1</v>
      </c>
      <c r="H2956">
        <v>270</v>
      </c>
      <c r="I2956">
        <f t="shared" si="1194"/>
        <v>270</v>
      </c>
      <c r="J2956" t="s">
        <v>163</v>
      </c>
      <c r="K2956">
        <v>232</v>
      </c>
      <c r="M2956">
        <f t="shared" si="1195"/>
        <v>232</v>
      </c>
      <c r="N2956">
        <f t="shared" si="1196"/>
        <v>38</v>
      </c>
    </row>
    <row r="2957" spans="1:14" x14ac:dyDescent="0.25">
      <c r="A2957">
        <v>75</v>
      </c>
      <c r="B2957" s="1">
        <v>44078</v>
      </c>
      <c r="C2957" t="str">
        <f t="shared" si="1193"/>
        <v>septiembre</v>
      </c>
      <c r="D2957" t="s">
        <v>85</v>
      </c>
      <c r="F2957" t="s">
        <v>329</v>
      </c>
      <c r="G2957">
        <v>1</v>
      </c>
      <c r="H2957">
        <v>80</v>
      </c>
      <c r="I2957">
        <f t="shared" si="1194"/>
        <v>80</v>
      </c>
      <c r="J2957" t="s">
        <v>198</v>
      </c>
      <c r="K2957">
        <v>50</v>
      </c>
      <c r="M2957">
        <f t="shared" si="1195"/>
        <v>50</v>
      </c>
      <c r="N2957">
        <f t="shared" si="1196"/>
        <v>30</v>
      </c>
    </row>
    <row r="2958" spans="1:14" x14ac:dyDescent="0.25">
      <c r="A2958">
        <v>76</v>
      </c>
      <c r="B2958" s="1">
        <v>44078</v>
      </c>
      <c r="C2958" t="str">
        <f t="shared" si="1193"/>
        <v>septiembre</v>
      </c>
      <c r="D2958" t="s">
        <v>56</v>
      </c>
      <c r="F2958" t="s">
        <v>267</v>
      </c>
      <c r="G2958">
        <v>2</v>
      </c>
      <c r="H2958">
        <v>170</v>
      </c>
      <c r="I2958">
        <f t="shared" si="1194"/>
        <v>340</v>
      </c>
      <c r="J2958" t="s">
        <v>163</v>
      </c>
      <c r="K2958">
        <v>123</v>
      </c>
      <c r="M2958">
        <f t="shared" si="1195"/>
        <v>246</v>
      </c>
      <c r="N2958">
        <f t="shared" si="1196"/>
        <v>94</v>
      </c>
    </row>
    <row r="2959" spans="1:14" x14ac:dyDescent="0.25">
      <c r="A2959">
        <v>77</v>
      </c>
      <c r="B2959" s="1">
        <v>44078</v>
      </c>
      <c r="C2959" t="str">
        <f t="shared" si="1193"/>
        <v>septiembre</v>
      </c>
      <c r="D2959" t="s">
        <v>55</v>
      </c>
      <c r="F2959" t="s">
        <v>416</v>
      </c>
      <c r="G2959">
        <f>10/16</f>
        <v>0.625</v>
      </c>
      <c r="H2959">
        <v>270</v>
      </c>
      <c r="I2959">
        <f t="shared" si="1194"/>
        <v>168.75</v>
      </c>
      <c r="J2959" t="s">
        <v>167</v>
      </c>
      <c r="K2959">
        <v>207</v>
      </c>
      <c r="M2959">
        <f t="shared" si="1195"/>
        <v>129.375</v>
      </c>
      <c r="N2959">
        <f t="shared" si="1196"/>
        <v>39.375</v>
      </c>
    </row>
    <row r="2960" spans="1:14" x14ac:dyDescent="0.25">
      <c r="A2960">
        <v>78</v>
      </c>
      <c r="B2960" s="1">
        <v>44078</v>
      </c>
      <c r="C2960" t="str">
        <f t="shared" si="1193"/>
        <v>septiembre</v>
      </c>
      <c r="D2960" t="s">
        <v>15</v>
      </c>
      <c r="F2960" t="s">
        <v>296</v>
      </c>
      <c r="G2960">
        <f>10/8</f>
        <v>1.25</v>
      </c>
      <c r="H2960">
        <v>280</v>
      </c>
      <c r="I2960">
        <f t="shared" si="1194"/>
        <v>350</v>
      </c>
      <c r="J2960" t="s">
        <v>163</v>
      </c>
      <c r="M2960" t="str">
        <f t="shared" si="1195"/>
        <v/>
      </c>
      <c r="N2960" t="str">
        <f t="shared" si="1196"/>
        <v/>
      </c>
    </row>
    <row r="2961" spans="1:14" x14ac:dyDescent="0.25">
      <c r="A2961">
        <v>79</v>
      </c>
      <c r="B2961" s="1">
        <v>44078</v>
      </c>
      <c r="C2961" t="str">
        <f t="shared" si="1193"/>
        <v>septiembre</v>
      </c>
      <c r="D2961" t="s">
        <v>64</v>
      </c>
      <c r="F2961" t="s">
        <v>471</v>
      </c>
      <c r="G2961">
        <v>5.43</v>
      </c>
      <c r="H2961">
        <v>390</v>
      </c>
      <c r="I2961">
        <f t="shared" si="1194"/>
        <v>2117.6999999999998</v>
      </c>
      <c r="J2961" t="s">
        <v>167</v>
      </c>
      <c r="K2961">
        <v>307</v>
      </c>
      <c r="M2961">
        <f t="shared" si="1195"/>
        <v>1667.01</v>
      </c>
      <c r="N2961">
        <f t="shared" si="1196"/>
        <v>450.68999999999983</v>
      </c>
    </row>
    <row r="2962" spans="1:14" x14ac:dyDescent="0.25">
      <c r="A2962">
        <v>80</v>
      </c>
      <c r="B2962" s="1">
        <v>44078</v>
      </c>
      <c r="C2962" t="str">
        <f t="shared" si="1193"/>
        <v>septiembre</v>
      </c>
      <c r="D2962" t="s">
        <v>25</v>
      </c>
      <c r="F2962" t="s">
        <v>337</v>
      </c>
      <c r="G2962">
        <v>1</v>
      </c>
      <c r="H2962">
        <v>60</v>
      </c>
      <c r="I2962">
        <f t="shared" si="1194"/>
        <v>60</v>
      </c>
      <c r="J2962" t="s">
        <v>165</v>
      </c>
      <c r="K2962">
        <v>34</v>
      </c>
      <c r="M2962">
        <f t="shared" si="1195"/>
        <v>34</v>
      </c>
      <c r="N2962">
        <f t="shared" si="1196"/>
        <v>26</v>
      </c>
    </row>
    <row r="2963" spans="1:14" x14ac:dyDescent="0.25">
      <c r="A2963">
        <v>81</v>
      </c>
      <c r="B2963" s="1">
        <v>44079</v>
      </c>
      <c r="C2963" t="str">
        <f t="shared" si="1193"/>
        <v>septiembre</v>
      </c>
      <c r="D2963" t="s">
        <v>15</v>
      </c>
      <c r="F2963" t="s">
        <v>19</v>
      </c>
      <c r="G2963">
        <v>16</v>
      </c>
      <c r="H2963">
        <v>300</v>
      </c>
      <c r="I2963">
        <f t="shared" si="1194"/>
        <v>4800</v>
      </c>
      <c r="J2963" t="s">
        <v>167</v>
      </c>
      <c r="K2963">
        <v>268</v>
      </c>
      <c r="M2963">
        <f t="shared" si="1195"/>
        <v>4288</v>
      </c>
      <c r="N2963">
        <f t="shared" si="1196"/>
        <v>512</v>
      </c>
    </row>
    <row r="2964" spans="1:14" x14ac:dyDescent="0.25">
      <c r="A2964">
        <v>82</v>
      </c>
      <c r="B2964" s="1">
        <v>44079</v>
      </c>
      <c r="C2964" t="str">
        <f t="shared" si="1193"/>
        <v>septiembre</v>
      </c>
      <c r="D2964" t="s">
        <v>26</v>
      </c>
      <c r="F2964" t="s">
        <v>392</v>
      </c>
      <c r="G2964">
        <v>80</v>
      </c>
      <c r="H2964">
        <v>425</v>
      </c>
      <c r="I2964">
        <f t="shared" si="1194"/>
        <v>34000</v>
      </c>
      <c r="J2964" t="s">
        <v>99</v>
      </c>
      <c r="K2964">
        <v>360</v>
      </c>
      <c r="M2964">
        <f t="shared" si="1195"/>
        <v>28800</v>
      </c>
      <c r="N2964">
        <f t="shared" si="1196"/>
        <v>5200</v>
      </c>
    </row>
    <row r="2965" spans="1:14" x14ac:dyDescent="0.25">
      <c r="A2965">
        <v>83</v>
      </c>
      <c r="B2965" s="1">
        <v>44079</v>
      </c>
      <c r="C2965" t="str">
        <f t="shared" si="1193"/>
        <v>septiembre</v>
      </c>
      <c r="D2965" t="s">
        <v>44</v>
      </c>
      <c r="F2965" t="s">
        <v>412</v>
      </c>
      <c r="G2965">
        <v>2</v>
      </c>
      <c r="H2965">
        <v>35</v>
      </c>
      <c r="I2965">
        <f t="shared" si="1194"/>
        <v>70</v>
      </c>
      <c r="J2965" t="s">
        <v>198</v>
      </c>
      <c r="K2965">
        <v>20</v>
      </c>
      <c r="M2965">
        <f t="shared" si="1195"/>
        <v>40</v>
      </c>
      <c r="N2965">
        <f t="shared" si="1196"/>
        <v>30</v>
      </c>
    </row>
    <row r="2966" spans="1:14" x14ac:dyDescent="0.25">
      <c r="A2966">
        <v>84</v>
      </c>
      <c r="B2966" s="1">
        <v>44079</v>
      </c>
      <c r="C2966" t="str">
        <f t="shared" si="1193"/>
        <v>septiembre</v>
      </c>
      <c r="D2966" t="s">
        <v>56</v>
      </c>
      <c r="F2966" t="s">
        <v>176</v>
      </c>
      <c r="G2966">
        <v>22</v>
      </c>
      <c r="H2966">
        <v>260</v>
      </c>
      <c r="I2966">
        <f t="shared" si="1194"/>
        <v>5720</v>
      </c>
      <c r="J2966" t="s">
        <v>163</v>
      </c>
      <c r="K2966">
        <v>200</v>
      </c>
      <c r="M2966">
        <f t="shared" si="1195"/>
        <v>4400</v>
      </c>
      <c r="N2966">
        <f t="shared" si="1196"/>
        <v>1320</v>
      </c>
    </row>
    <row r="2967" spans="1:14" x14ac:dyDescent="0.25">
      <c r="A2967">
        <v>85</v>
      </c>
      <c r="B2967" s="1">
        <v>44079</v>
      </c>
      <c r="C2967" t="str">
        <f t="shared" si="1193"/>
        <v>septiembre</v>
      </c>
      <c r="D2967" t="s">
        <v>25</v>
      </c>
      <c r="F2967" t="s">
        <v>203</v>
      </c>
      <c r="G2967">
        <v>6</v>
      </c>
      <c r="H2967">
        <v>100</v>
      </c>
      <c r="I2967">
        <f t="shared" si="1194"/>
        <v>600</v>
      </c>
      <c r="J2967" t="s">
        <v>163</v>
      </c>
      <c r="K2967">
        <v>71</v>
      </c>
      <c r="M2967">
        <f t="shared" si="1195"/>
        <v>426</v>
      </c>
      <c r="N2967">
        <f t="shared" si="1196"/>
        <v>174</v>
      </c>
    </row>
    <row r="2968" spans="1:14" x14ac:dyDescent="0.25">
      <c r="A2968">
        <v>86</v>
      </c>
      <c r="B2968" s="1">
        <v>44079</v>
      </c>
      <c r="C2968" t="str">
        <f t="shared" si="1193"/>
        <v>septiembre</v>
      </c>
      <c r="D2968" t="s">
        <v>15</v>
      </c>
      <c r="F2968" t="s">
        <v>17</v>
      </c>
      <c r="G2968">
        <f>9/6*1.22</f>
        <v>1.83</v>
      </c>
      <c r="H2968">
        <v>360</v>
      </c>
      <c r="I2968">
        <f t="shared" si="1194"/>
        <v>658.80000000000007</v>
      </c>
      <c r="J2968" t="s">
        <v>167</v>
      </c>
      <c r="K2968">
        <v>307</v>
      </c>
      <c r="M2968">
        <f t="shared" si="1195"/>
        <v>561.81000000000006</v>
      </c>
      <c r="N2968">
        <f t="shared" si="1196"/>
        <v>96.990000000000009</v>
      </c>
    </row>
    <row r="2969" spans="1:14" x14ac:dyDescent="0.25">
      <c r="A2969">
        <v>87</v>
      </c>
      <c r="B2969" s="1">
        <v>44079</v>
      </c>
      <c r="C2969" t="str">
        <f t="shared" si="1193"/>
        <v>septiembre</v>
      </c>
      <c r="D2969" t="s">
        <v>68</v>
      </c>
      <c r="F2969" t="s">
        <v>477</v>
      </c>
      <c r="G2969">
        <v>1</v>
      </c>
      <c r="H2969">
        <v>25</v>
      </c>
      <c r="I2969">
        <f t="shared" si="1194"/>
        <v>25</v>
      </c>
      <c r="J2969" t="s">
        <v>395</v>
      </c>
      <c r="K2969">
        <v>16</v>
      </c>
      <c r="M2969">
        <f t="shared" si="1195"/>
        <v>16</v>
      </c>
      <c r="N2969">
        <f t="shared" si="1196"/>
        <v>9</v>
      </c>
    </row>
    <row r="2970" spans="1:14" x14ac:dyDescent="0.25">
      <c r="A2970">
        <v>88</v>
      </c>
      <c r="B2970" s="1">
        <v>44079</v>
      </c>
      <c r="C2970" t="str">
        <f t="shared" si="1193"/>
        <v>septiembre</v>
      </c>
      <c r="D2970" t="s">
        <v>68</v>
      </c>
      <c r="F2970" t="s">
        <v>478</v>
      </c>
      <c r="G2970">
        <v>1</v>
      </c>
      <c r="H2970">
        <v>35</v>
      </c>
      <c r="I2970">
        <f t="shared" si="1194"/>
        <v>35</v>
      </c>
      <c r="J2970" t="s">
        <v>395</v>
      </c>
      <c r="K2970">
        <v>22</v>
      </c>
      <c r="M2970">
        <f t="shared" si="1195"/>
        <v>22</v>
      </c>
      <c r="N2970">
        <f t="shared" si="1196"/>
        <v>13</v>
      </c>
    </row>
    <row r="2971" spans="1:14" x14ac:dyDescent="0.25">
      <c r="A2971">
        <v>89</v>
      </c>
      <c r="B2971" s="1">
        <v>44079</v>
      </c>
      <c r="C2971" t="str">
        <f t="shared" si="1193"/>
        <v>septiembre</v>
      </c>
      <c r="D2971" t="s">
        <v>15</v>
      </c>
      <c r="F2971" t="s">
        <v>29</v>
      </c>
      <c r="G2971">
        <v>20</v>
      </c>
      <c r="H2971">
        <v>240</v>
      </c>
      <c r="I2971">
        <f t="shared" si="1194"/>
        <v>4800</v>
      </c>
      <c r="J2971" t="s">
        <v>163</v>
      </c>
      <c r="K2971">
        <v>211</v>
      </c>
      <c r="M2971">
        <f t="shared" si="1195"/>
        <v>4220</v>
      </c>
      <c r="N2971">
        <f t="shared" si="1196"/>
        <v>580</v>
      </c>
    </row>
    <row r="2972" spans="1:14" x14ac:dyDescent="0.25">
      <c r="A2972">
        <v>90</v>
      </c>
      <c r="B2972" s="1">
        <v>44079</v>
      </c>
      <c r="C2972" t="str">
        <f t="shared" si="1193"/>
        <v>septiembre</v>
      </c>
      <c r="D2972" t="s">
        <v>26</v>
      </c>
      <c r="F2972" t="s">
        <v>47</v>
      </c>
      <c r="G2972">
        <v>1.44</v>
      </c>
      <c r="H2972">
        <v>350</v>
      </c>
      <c r="I2972">
        <f t="shared" si="1194"/>
        <v>504</v>
      </c>
      <c r="J2972" t="s">
        <v>99</v>
      </c>
      <c r="K2972">
        <v>260</v>
      </c>
      <c r="M2972">
        <f t="shared" si="1195"/>
        <v>374.4</v>
      </c>
      <c r="N2972">
        <f t="shared" si="1196"/>
        <v>129.60000000000002</v>
      </c>
    </row>
    <row r="2973" spans="1:14" x14ac:dyDescent="0.25">
      <c r="A2973">
        <v>91</v>
      </c>
      <c r="B2973" s="1">
        <v>44079</v>
      </c>
      <c r="C2973" t="str">
        <f t="shared" si="1193"/>
        <v>septiembre</v>
      </c>
      <c r="D2973" t="s">
        <v>26</v>
      </c>
      <c r="F2973" t="s">
        <v>47</v>
      </c>
      <c r="G2973">
        <v>10</v>
      </c>
      <c r="H2973">
        <v>350</v>
      </c>
      <c r="I2973">
        <f t="shared" si="1194"/>
        <v>3500</v>
      </c>
      <c r="J2973" t="s">
        <v>99</v>
      </c>
      <c r="K2973">
        <v>260</v>
      </c>
      <c r="M2973">
        <f t="shared" si="1195"/>
        <v>2600</v>
      </c>
      <c r="N2973">
        <f t="shared" si="1196"/>
        <v>900</v>
      </c>
    </row>
    <row r="2974" spans="1:14" x14ac:dyDescent="0.25">
      <c r="A2974">
        <v>92</v>
      </c>
      <c r="B2974" s="1">
        <v>44079</v>
      </c>
      <c r="C2974" t="str">
        <f t="shared" ref="C2974:C3037" si="1197">+TEXT(B2974,"mmmm")</f>
        <v>septiembre</v>
      </c>
      <c r="D2974" t="s">
        <v>26</v>
      </c>
      <c r="F2974" t="s">
        <v>47</v>
      </c>
      <c r="G2974">
        <v>10</v>
      </c>
      <c r="H2974">
        <v>350</v>
      </c>
      <c r="I2974">
        <f t="shared" si="1194"/>
        <v>3500</v>
      </c>
      <c r="J2974" t="s">
        <v>99</v>
      </c>
      <c r="K2974">
        <v>260</v>
      </c>
      <c r="M2974">
        <f t="shared" si="1195"/>
        <v>2600</v>
      </c>
      <c r="N2974">
        <f t="shared" si="1196"/>
        <v>900</v>
      </c>
    </row>
    <row r="2975" spans="1:14" x14ac:dyDescent="0.25">
      <c r="A2975">
        <v>93</v>
      </c>
      <c r="B2975" s="1">
        <v>44079</v>
      </c>
      <c r="C2975" t="str">
        <f t="shared" si="1197"/>
        <v>septiembre</v>
      </c>
      <c r="D2975" t="s">
        <v>15</v>
      </c>
      <c r="F2975" t="s">
        <v>29</v>
      </c>
      <c r="G2975">
        <v>17</v>
      </c>
      <c r="H2975">
        <v>240</v>
      </c>
      <c r="I2975">
        <f t="shared" si="1194"/>
        <v>4080</v>
      </c>
      <c r="J2975" t="s">
        <v>163</v>
      </c>
      <c r="K2975">
        <v>211</v>
      </c>
      <c r="M2975">
        <f t="shared" si="1195"/>
        <v>3587</v>
      </c>
      <c r="N2975">
        <f t="shared" si="1196"/>
        <v>493</v>
      </c>
    </row>
    <row r="2976" spans="1:14" x14ac:dyDescent="0.25">
      <c r="A2976">
        <v>94</v>
      </c>
      <c r="B2976" s="1">
        <v>44079</v>
      </c>
      <c r="C2976" t="str">
        <f t="shared" si="1197"/>
        <v>septiembre</v>
      </c>
      <c r="D2976" t="s">
        <v>15</v>
      </c>
      <c r="F2976" t="s">
        <v>29</v>
      </c>
      <c r="G2976">
        <v>1.53</v>
      </c>
      <c r="H2976">
        <v>240</v>
      </c>
      <c r="I2976">
        <f t="shared" si="1194"/>
        <v>367.2</v>
      </c>
      <c r="J2976" t="s">
        <v>163</v>
      </c>
      <c r="K2976">
        <v>211</v>
      </c>
      <c r="M2976">
        <f t="shared" si="1195"/>
        <v>322.83</v>
      </c>
      <c r="N2976">
        <f t="shared" si="1196"/>
        <v>44.370000000000005</v>
      </c>
    </row>
    <row r="2977" spans="1:14" x14ac:dyDescent="0.25">
      <c r="A2977">
        <v>95</v>
      </c>
      <c r="B2977" s="1">
        <v>44079</v>
      </c>
      <c r="C2977" t="str">
        <f t="shared" si="1197"/>
        <v>septiembre</v>
      </c>
      <c r="D2977" t="s">
        <v>15</v>
      </c>
      <c r="F2977" t="s">
        <v>33</v>
      </c>
      <c r="G2977">
        <v>26</v>
      </c>
      <c r="H2977">
        <v>250</v>
      </c>
      <c r="I2977">
        <f t="shared" si="1194"/>
        <v>6500</v>
      </c>
      <c r="J2977" t="s">
        <v>163</v>
      </c>
      <c r="K2977">
        <v>220</v>
      </c>
      <c r="M2977">
        <f t="shared" si="1195"/>
        <v>5720</v>
      </c>
      <c r="N2977">
        <f t="shared" si="1196"/>
        <v>780</v>
      </c>
    </row>
    <row r="2978" spans="1:14" x14ac:dyDescent="0.25">
      <c r="A2978">
        <v>96</v>
      </c>
      <c r="B2978" s="1">
        <v>44079</v>
      </c>
      <c r="C2978" t="str">
        <f t="shared" si="1197"/>
        <v>septiembre</v>
      </c>
      <c r="D2978" t="s">
        <v>78</v>
      </c>
      <c r="F2978" t="s">
        <v>480</v>
      </c>
      <c r="G2978">
        <v>1</v>
      </c>
      <c r="H2978">
        <v>650</v>
      </c>
      <c r="I2978">
        <f t="shared" si="1194"/>
        <v>650</v>
      </c>
      <c r="J2978" t="s">
        <v>166</v>
      </c>
      <c r="K2978">
        <v>435</v>
      </c>
    </row>
    <row r="2979" spans="1:14" x14ac:dyDescent="0.25">
      <c r="A2979">
        <v>97</v>
      </c>
      <c r="B2979" s="1">
        <v>44081</v>
      </c>
      <c r="C2979" t="str">
        <f t="shared" si="1197"/>
        <v>septiembre</v>
      </c>
      <c r="D2979" t="s">
        <v>55</v>
      </c>
      <c r="F2979" t="s">
        <v>108</v>
      </c>
      <c r="G2979">
        <v>2</v>
      </c>
      <c r="H2979">
        <v>300</v>
      </c>
      <c r="I2979">
        <f t="shared" si="1194"/>
        <v>600</v>
      </c>
      <c r="J2979" t="s">
        <v>167</v>
      </c>
      <c r="K2979">
        <v>268</v>
      </c>
      <c r="M2979">
        <f t="shared" si="1195"/>
        <v>536</v>
      </c>
      <c r="N2979">
        <f t="shared" si="1196"/>
        <v>64</v>
      </c>
    </row>
    <row r="2980" spans="1:14" x14ac:dyDescent="0.25">
      <c r="A2980">
        <v>98</v>
      </c>
      <c r="B2980" s="1">
        <v>44081</v>
      </c>
      <c r="C2980" t="str">
        <f t="shared" si="1197"/>
        <v>septiembre</v>
      </c>
      <c r="D2980" t="s">
        <v>15</v>
      </c>
      <c r="F2980" t="s">
        <v>29</v>
      </c>
      <c r="G2980">
        <v>1.53</v>
      </c>
      <c r="H2980">
        <v>240</v>
      </c>
      <c r="I2980">
        <f t="shared" si="1194"/>
        <v>367.2</v>
      </c>
      <c r="J2980" t="s">
        <v>163</v>
      </c>
      <c r="K2980">
        <v>211</v>
      </c>
      <c r="M2980">
        <f t="shared" si="1195"/>
        <v>322.83</v>
      </c>
      <c r="N2980">
        <f t="shared" si="1196"/>
        <v>44.370000000000005</v>
      </c>
    </row>
    <row r="2981" spans="1:14" x14ac:dyDescent="0.25">
      <c r="A2981">
        <v>99</v>
      </c>
      <c r="B2981" s="1">
        <v>44081</v>
      </c>
      <c r="C2981" t="str">
        <f t="shared" si="1197"/>
        <v>septiembre</v>
      </c>
      <c r="D2981" t="s">
        <v>15</v>
      </c>
      <c r="F2981" t="s">
        <v>440</v>
      </c>
      <c r="G2981">
        <v>2</v>
      </c>
      <c r="H2981">
        <v>250</v>
      </c>
      <c r="I2981">
        <f t="shared" si="1194"/>
        <v>500</v>
      </c>
      <c r="J2981" t="s">
        <v>163</v>
      </c>
      <c r="K2981">
        <v>220</v>
      </c>
      <c r="M2981">
        <f t="shared" si="1195"/>
        <v>440</v>
      </c>
      <c r="N2981">
        <f t="shared" si="1196"/>
        <v>60</v>
      </c>
    </row>
    <row r="2982" spans="1:14" x14ac:dyDescent="0.25">
      <c r="A2982">
        <v>100</v>
      </c>
      <c r="B2982" s="1">
        <v>44081</v>
      </c>
      <c r="C2982" t="str">
        <f t="shared" si="1197"/>
        <v>septiembre</v>
      </c>
      <c r="D2982" t="s">
        <v>15</v>
      </c>
      <c r="F2982" t="s">
        <v>391</v>
      </c>
      <c r="G2982">
        <v>1</v>
      </c>
      <c r="H2982">
        <v>250</v>
      </c>
      <c r="I2982">
        <f t="shared" si="1194"/>
        <v>250</v>
      </c>
      <c r="J2982" t="s">
        <v>167</v>
      </c>
      <c r="K2982">
        <v>219</v>
      </c>
      <c r="M2982">
        <f t="shared" si="1195"/>
        <v>219</v>
      </c>
      <c r="N2982">
        <f t="shared" si="1196"/>
        <v>31</v>
      </c>
    </row>
    <row r="2983" spans="1:14" x14ac:dyDescent="0.25">
      <c r="A2983">
        <v>101</v>
      </c>
      <c r="B2983" s="1">
        <v>44081</v>
      </c>
      <c r="C2983" t="str">
        <f t="shared" si="1197"/>
        <v>septiembre</v>
      </c>
      <c r="D2983" t="s">
        <v>15</v>
      </c>
      <c r="F2983" t="s">
        <v>391</v>
      </c>
      <c r="G2983">
        <v>5</v>
      </c>
      <c r="H2983">
        <v>250</v>
      </c>
      <c r="I2983">
        <f t="shared" si="1194"/>
        <v>1250</v>
      </c>
      <c r="J2983" t="s">
        <v>167</v>
      </c>
      <c r="K2983">
        <v>219</v>
      </c>
      <c r="M2983">
        <f t="shared" si="1195"/>
        <v>1095</v>
      </c>
      <c r="N2983">
        <f t="shared" si="1196"/>
        <v>155</v>
      </c>
    </row>
    <row r="2984" spans="1:14" x14ac:dyDescent="0.25">
      <c r="A2984">
        <v>102</v>
      </c>
      <c r="B2984" s="1">
        <v>44081</v>
      </c>
      <c r="C2984" t="str">
        <f t="shared" si="1197"/>
        <v>septiembre</v>
      </c>
      <c r="D2984" t="s">
        <v>55</v>
      </c>
      <c r="F2984" t="s">
        <v>39</v>
      </c>
      <c r="G2984">
        <f>7/17</f>
        <v>0.41176470588235292</v>
      </c>
      <c r="H2984">
        <v>300</v>
      </c>
      <c r="I2984">
        <f t="shared" si="1194"/>
        <v>123.52941176470587</v>
      </c>
      <c r="J2984" t="s">
        <v>167</v>
      </c>
      <c r="K2984">
        <v>268</v>
      </c>
      <c r="M2984">
        <f t="shared" si="1195"/>
        <v>110.35294117647058</v>
      </c>
      <c r="N2984">
        <f t="shared" si="1196"/>
        <v>13.17647058823529</v>
      </c>
    </row>
    <row r="2985" spans="1:14" x14ac:dyDescent="0.25">
      <c r="A2985">
        <v>103</v>
      </c>
      <c r="B2985" s="1">
        <v>44081</v>
      </c>
      <c r="C2985" t="str">
        <f t="shared" si="1197"/>
        <v>septiembre</v>
      </c>
      <c r="D2985" t="s">
        <v>15</v>
      </c>
      <c r="F2985" t="s">
        <v>29</v>
      </c>
      <c r="G2985">
        <f>2/9</f>
        <v>0.22222222222222221</v>
      </c>
      <c r="H2985">
        <v>240</v>
      </c>
      <c r="I2985">
        <f t="shared" si="1194"/>
        <v>53.333333333333329</v>
      </c>
      <c r="J2985" t="s">
        <v>163</v>
      </c>
      <c r="K2985">
        <v>211</v>
      </c>
      <c r="M2985">
        <f t="shared" si="1195"/>
        <v>46.888888888888886</v>
      </c>
      <c r="N2985">
        <f t="shared" si="1196"/>
        <v>6.4444444444444429</v>
      </c>
    </row>
    <row r="2986" spans="1:14" x14ac:dyDescent="0.25">
      <c r="A2986">
        <v>104</v>
      </c>
      <c r="B2986" s="1">
        <v>44081</v>
      </c>
      <c r="C2986" t="str">
        <f t="shared" si="1197"/>
        <v>septiembre</v>
      </c>
      <c r="D2986" t="s">
        <v>55</v>
      </c>
      <c r="F2986" t="s">
        <v>22</v>
      </c>
      <c r="G2986">
        <v>7</v>
      </c>
      <c r="H2986">
        <v>295</v>
      </c>
      <c r="I2986">
        <f t="shared" si="1194"/>
        <v>2065</v>
      </c>
      <c r="J2986" t="s">
        <v>167</v>
      </c>
      <c r="K2986">
        <v>268</v>
      </c>
      <c r="M2986">
        <f t="shared" si="1195"/>
        <v>1876</v>
      </c>
      <c r="N2986">
        <f t="shared" si="1196"/>
        <v>189</v>
      </c>
    </row>
    <row r="2987" spans="1:14" x14ac:dyDescent="0.25">
      <c r="A2987">
        <v>105</v>
      </c>
      <c r="B2987" s="1">
        <v>44082</v>
      </c>
      <c r="C2987" t="str">
        <f t="shared" si="1197"/>
        <v>septiembre</v>
      </c>
      <c r="D2987" t="s">
        <v>15</v>
      </c>
      <c r="F2987" t="s">
        <v>19</v>
      </c>
      <c r="G2987">
        <v>2</v>
      </c>
      <c r="H2987">
        <v>300</v>
      </c>
      <c r="I2987">
        <f t="shared" si="1194"/>
        <v>600</v>
      </c>
      <c r="J2987" t="s">
        <v>167</v>
      </c>
      <c r="K2987">
        <v>268</v>
      </c>
      <c r="M2987">
        <f t="shared" si="1195"/>
        <v>536</v>
      </c>
      <c r="N2987">
        <f t="shared" si="1196"/>
        <v>64</v>
      </c>
    </row>
    <row r="2988" spans="1:14" x14ac:dyDescent="0.25">
      <c r="A2988">
        <v>106</v>
      </c>
      <c r="B2988" s="1">
        <v>44082</v>
      </c>
      <c r="C2988" t="str">
        <f t="shared" si="1197"/>
        <v>septiembre</v>
      </c>
      <c r="D2988" t="s">
        <v>55</v>
      </c>
      <c r="F2988" t="s">
        <v>416</v>
      </c>
      <c r="G2988">
        <v>0.5</v>
      </c>
      <c r="H2988">
        <v>270</v>
      </c>
      <c r="I2988">
        <f t="shared" si="1194"/>
        <v>135</v>
      </c>
      <c r="J2988" t="s">
        <v>167</v>
      </c>
      <c r="K2988">
        <v>207</v>
      </c>
      <c r="M2988">
        <f t="shared" si="1195"/>
        <v>103.5</v>
      </c>
      <c r="N2988">
        <f t="shared" si="1196"/>
        <v>31.5</v>
      </c>
    </row>
    <row r="2989" spans="1:14" x14ac:dyDescent="0.25">
      <c r="A2989">
        <v>107</v>
      </c>
      <c r="B2989" s="1">
        <v>44082</v>
      </c>
      <c r="C2989" t="str">
        <f t="shared" si="1197"/>
        <v>septiembre</v>
      </c>
      <c r="D2989" t="s">
        <v>26</v>
      </c>
      <c r="F2989" t="s">
        <v>47</v>
      </c>
      <c r="G2989">
        <v>19</v>
      </c>
      <c r="H2989">
        <v>350</v>
      </c>
      <c r="I2989">
        <f t="shared" si="1194"/>
        <v>6650</v>
      </c>
      <c r="J2989" t="s">
        <v>99</v>
      </c>
      <c r="K2989">
        <v>260</v>
      </c>
      <c r="M2989">
        <f t="shared" si="1195"/>
        <v>4940</v>
      </c>
      <c r="N2989">
        <f t="shared" si="1196"/>
        <v>1710</v>
      </c>
    </row>
    <row r="2990" spans="1:14" x14ac:dyDescent="0.25">
      <c r="A2990">
        <v>108</v>
      </c>
      <c r="B2990" s="1">
        <v>44082</v>
      </c>
      <c r="C2990" t="str">
        <f t="shared" si="1197"/>
        <v>septiembre</v>
      </c>
      <c r="D2990" t="s">
        <v>23</v>
      </c>
      <c r="F2990" t="s">
        <v>456</v>
      </c>
      <c r="G2990">
        <v>1</v>
      </c>
      <c r="H2990">
        <v>250</v>
      </c>
      <c r="I2990">
        <f t="shared" si="1194"/>
        <v>250</v>
      </c>
      <c r="J2990" t="s">
        <v>163</v>
      </c>
      <c r="M2990" t="str">
        <f t="shared" si="1195"/>
        <v/>
      </c>
      <c r="N2990" t="str">
        <f t="shared" si="1196"/>
        <v/>
      </c>
    </row>
    <row r="2991" spans="1:14" x14ac:dyDescent="0.25">
      <c r="A2991">
        <v>109</v>
      </c>
      <c r="B2991" s="1">
        <v>44082</v>
      </c>
      <c r="C2991" t="str">
        <f t="shared" si="1197"/>
        <v>septiembre</v>
      </c>
      <c r="D2991" t="s">
        <v>56</v>
      </c>
      <c r="F2991" t="s">
        <v>176</v>
      </c>
      <c r="G2991">
        <v>2</v>
      </c>
      <c r="H2991">
        <v>260</v>
      </c>
      <c r="I2991">
        <f t="shared" si="1194"/>
        <v>520</v>
      </c>
      <c r="J2991" t="s">
        <v>163</v>
      </c>
      <c r="K2991">
        <v>200</v>
      </c>
      <c r="M2991">
        <f t="shared" si="1195"/>
        <v>400</v>
      </c>
      <c r="N2991">
        <f t="shared" si="1196"/>
        <v>120</v>
      </c>
    </row>
    <row r="2992" spans="1:14" x14ac:dyDescent="0.25">
      <c r="A2992">
        <v>110</v>
      </c>
      <c r="B2992" s="1">
        <v>44082</v>
      </c>
      <c r="C2992" t="str">
        <f t="shared" si="1197"/>
        <v>septiembre</v>
      </c>
      <c r="D2992" t="s">
        <v>15</v>
      </c>
      <c r="F2992" t="s">
        <v>76</v>
      </c>
      <c r="G2992">
        <v>7</v>
      </c>
      <c r="H2992">
        <v>280</v>
      </c>
      <c r="I2992">
        <f t="shared" si="1194"/>
        <v>1960</v>
      </c>
      <c r="J2992" t="s">
        <v>163</v>
      </c>
      <c r="K2992">
        <v>233</v>
      </c>
      <c r="M2992">
        <f t="shared" si="1195"/>
        <v>1631</v>
      </c>
      <c r="N2992">
        <f t="shared" si="1196"/>
        <v>329</v>
      </c>
    </row>
    <row r="2993" spans="1:14" x14ac:dyDescent="0.25">
      <c r="A2993">
        <v>111</v>
      </c>
      <c r="B2993" s="1">
        <v>44082</v>
      </c>
      <c r="C2993" t="str">
        <f t="shared" si="1197"/>
        <v>septiembre</v>
      </c>
      <c r="D2993" t="s">
        <v>24</v>
      </c>
      <c r="F2993" t="s">
        <v>24</v>
      </c>
      <c r="G2993">
        <v>1</v>
      </c>
      <c r="H2993">
        <v>100</v>
      </c>
      <c r="I2993">
        <f t="shared" si="1194"/>
        <v>100</v>
      </c>
      <c r="J2993" t="s">
        <v>186</v>
      </c>
      <c r="K2993">
        <v>80</v>
      </c>
      <c r="M2993">
        <f t="shared" si="1195"/>
        <v>80</v>
      </c>
      <c r="N2993">
        <f t="shared" si="1196"/>
        <v>20</v>
      </c>
    </row>
    <row r="2994" spans="1:14" x14ac:dyDescent="0.25">
      <c r="A2994">
        <v>112</v>
      </c>
      <c r="B2994" s="1">
        <v>44082</v>
      </c>
      <c r="C2994" t="str">
        <f t="shared" si="1197"/>
        <v>septiembre</v>
      </c>
      <c r="D2994" t="s">
        <v>56</v>
      </c>
      <c r="F2994" t="s">
        <v>267</v>
      </c>
      <c r="G2994">
        <v>1</v>
      </c>
      <c r="H2994">
        <v>170</v>
      </c>
      <c r="I2994">
        <f t="shared" si="1194"/>
        <v>170</v>
      </c>
      <c r="J2994" t="s">
        <v>163</v>
      </c>
      <c r="K2994">
        <v>123</v>
      </c>
      <c r="M2994">
        <f t="shared" si="1195"/>
        <v>123</v>
      </c>
      <c r="N2994">
        <f t="shared" si="1196"/>
        <v>47</v>
      </c>
    </row>
    <row r="2995" spans="1:14" x14ac:dyDescent="0.25">
      <c r="A2995">
        <v>113</v>
      </c>
      <c r="B2995" s="1">
        <v>44082</v>
      </c>
      <c r="C2995" t="str">
        <f t="shared" si="1197"/>
        <v>septiembre</v>
      </c>
      <c r="D2995" t="s">
        <v>15</v>
      </c>
      <c r="F2995" t="s">
        <v>462</v>
      </c>
      <c r="G2995">
        <f>2/11*2.32</f>
        <v>0.42181818181818181</v>
      </c>
      <c r="H2995">
        <v>250</v>
      </c>
      <c r="I2995">
        <f t="shared" si="1194"/>
        <v>105.45454545454545</v>
      </c>
      <c r="J2995" t="s">
        <v>163</v>
      </c>
      <c r="K2995">
        <v>220</v>
      </c>
      <c r="M2995">
        <f t="shared" si="1195"/>
        <v>92.8</v>
      </c>
      <c r="N2995">
        <f t="shared" si="1196"/>
        <v>12.654545454545456</v>
      </c>
    </row>
    <row r="2996" spans="1:14" x14ac:dyDescent="0.25">
      <c r="A2996">
        <v>114</v>
      </c>
      <c r="B2996" s="1">
        <v>44082</v>
      </c>
      <c r="C2996" t="str">
        <f t="shared" si="1197"/>
        <v>septiembre</v>
      </c>
      <c r="D2996" t="s">
        <v>15</v>
      </c>
      <c r="F2996" t="s">
        <v>29</v>
      </c>
      <c r="G2996">
        <v>38</v>
      </c>
      <c r="H2996">
        <v>240</v>
      </c>
      <c r="I2996">
        <f t="shared" si="1194"/>
        <v>9120</v>
      </c>
      <c r="J2996" t="s">
        <v>163</v>
      </c>
      <c r="K2996">
        <v>211</v>
      </c>
      <c r="M2996">
        <f t="shared" si="1195"/>
        <v>8018</v>
      </c>
      <c r="N2996">
        <f t="shared" si="1196"/>
        <v>1102</v>
      </c>
    </row>
    <row r="2997" spans="1:14" x14ac:dyDescent="0.25">
      <c r="A2997">
        <v>115</v>
      </c>
      <c r="B2997" s="1">
        <v>44082</v>
      </c>
      <c r="C2997" t="str">
        <f t="shared" si="1197"/>
        <v>septiembre</v>
      </c>
      <c r="D2997" t="s">
        <v>24</v>
      </c>
      <c r="F2997" t="s">
        <v>24</v>
      </c>
      <c r="G2997">
        <v>3.2</v>
      </c>
      <c r="H2997">
        <v>100</v>
      </c>
      <c r="I2997">
        <f t="shared" si="1194"/>
        <v>320</v>
      </c>
      <c r="J2997" t="s">
        <v>186</v>
      </c>
      <c r="K2997">
        <v>80</v>
      </c>
      <c r="M2997">
        <f t="shared" si="1195"/>
        <v>256</v>
      </c>
      <c r="N2997">
        <f t="shared" si="1196"/>
        <v>64</v>
      </c>
    </row>
    <row r="2998" spans="1:14" x14ac:dyDescent="0.25">
      <c r="A2998">
        <v>116</v>
      </c>
      <c r="B2998" s="1">
        <v>44082</v>
      </c>
      <c r="C2998" t="str">
        <f t="shared" si="1197"/>
        <v>septiembre</v>
      </c>
      <c r="D2998" t="s">
        <v>44</v>
      </c>
      <c r="F2998" t="s">
        <v>138</v>
      </c>
      <c r="G2998">
        <v>2</v>
      </c>
      <c r="H2998">
        <v>35</v>
      </c>
      <c r="I2998">
        <f t="shared" si="1194"/>
        <v>70</v>
      </c>
      <c r="J2998" t="s">
        <v>198</v>
      </c>
      <c r="K2998">
        <v>26</v>
      </c>
      <c r="M2998">
        <f t="shared" si="1195"/>
        <v>52</v>
      </c>
      <c r="N2998">
        <f t="shared" si="1196"/>
        <v>18</v>
      </c>
    </row>
    <row r="2999" spans="1:14" x14ac:dyDescent="0.25">
      <c r="A2999">
        <v>117</v>
      </c>
      <c r="B2999" s="1">
        <v>44082</v>
      </c>
      <c r="C2999" t="str">
        <f t="shared" si="1197"/>
        <v>septiembre</v>
      </c>
      <c r="D2999" t="s">
        <v>25</v>
      </c>
      <c r="F2999" t="s">
        <v>142</v>
      </c>
      <c r="G2999">
        <v>1</v>
      </c>
      <c r="H2999">
        <v>60</v>
      </c>
      <c r="I2999">
        <f t="shared" si="1194"/>
        <v>60</v>
      </c>
      <c r="J2999" t="s">
        <v>165</v>
      </c>
      <c r="K2999">
        <v>34</v>
      </c>
      <c r="M2999">
        <f t="shared" si="1195"/>
        <v>34</v>
      </c>
      <c r="N2999">
        <f t="shared" si="1196"/>
        <v>26</v>
      </c>
    </row>
    <row r="3000" spans="1:14" x14ac:dyDescent="0.25">
      <c r="A3000">
        <v>118</v>
      </c>
      <c r="B3000" s="1">
        <v>44082</v>
      </c>
      <c r="C3000" t="str">
        <f t="shared" si="1197"/>
        <v>septiembre</v>
      </c>
      <c r="D3000" t="s">
        <v>15</v>
      </c>
      <c r="F3000" t="s">
        <v>425</v>
      </c>
      <c r="G3000">
        <v>23</v>
      </c>
      <c r="H3000">
        <v>240</v>
      </c>
      <c r="I3000">
        <f t="shared" si="1194"/>
        <v>5520</v>
      </c>
      <c r="J3000" t="s">
        <v>167</v>
      </c>
      <c r="K3000">
        <v>207</v>
      </c>
      <c r="M3000">
        <f t="shared" si="1195"/>
        <v>4761</v>
      </c>
      <c r="N3000">
        <f t="shared" si="1196"/>
        <v>759</v>
      </c>
    </row>
    <row r="3001" spans="1:14" x14ac:dyDescent="0.25">
      <c r="A3001">
        <v>119</v>
      </c>
      <c r="B3001" s="1">
        <v>44082</v>
      </c>
      <c r="C3001" t="str">
        <f t="shared" si="1197"/>
        <v>septiembre</v>
      </c>
      <c r="D3001" t="s">
        <v>25</v>
      </c>
      <c r="F3001" t="s">
        <v>156</v>
      </c>
      <c r="G3001">
        <v>3</v>
      </c>
      <c r="H3001">
        <v>60</v>
      </c>
      <c r="I3001">
        <f t="shared" si="1194"/>
        <v>180</v>
      </c>
      <c r="J3001" t="s">
        <v>165</v>
      </c>
      <c r="K3001">
        <v>34</v>
      </c>
      <c r="M3001">
        <f t="shared" si="1195"/>
        <v>102</v>
      </c>
      <c r="N3001">
        <f t="shared" si="1196"/>
        <v>78</v>
      </c>
    </row>
    <row r="3002" spans="1:14" x14ac:dyDescent="0.25">
      <c r="A3002">
        <v>120</v>
      </c>
      <c r="B3002" s="1">
        <v>44082</v>
      </c>
      <c r="C3002" t="str">
        <f t="shared" si="1197"/>
        <v>septiembre</v>
      </c>
      <c r="D3002" t="s">
        <v>92</v>
      </c>
      <c r="F3002" t="s">
        <v>275</v>
      </c>
      <c r="G3002">
        <v>1</v>
      </c>
      <c r="H3002">
        <v>180</v>
      </c>
      <c r="I3002">
        <f t="shared" si="1194"/>
        <v>180</v>
      </c>
      <c r="J3002" t="s">
        <v>166</v>
      </c>
      <c r="K3002">
        <v>120</v>
      </c>
      <c r="M3002">
        <f t="shared" si="1195"/>
        <v>120</v>
      </c>
      <c r="N3002">
        <f t="shared" si="1196"/>
        <v>60</v>
      </c>
    </row>
    <row r="3003" spans="1:14" x14ac:dyDescent="0.25">
      <c r="A3003">
        <v>121</v>
      </c>
      <c r="B3003" s="1">
        <v>44082</v>
      </c>
      <c r="C3003" t="str">
        <f t="shared" si="1197"/>
        <v>septiembre</v>
      </c>
      <c r="D3003" t="s">
        <v>15</v>
      </c>
      <c r="F3003" t="s">
        <v>346</v>
      </c>
      <c r="G3003">
        <v>2</v>
      </c>
      <c r="H3003">
        <v>250</v>
      </c>
      <c r="I3003">
        <f t="shared" si="1194"/>
        <v>500</v>
      </c>
      <c r="J3003" t="s">
        <v>167</v>
      </c>
      <c r="K3003">
        <v>219</v>
      </c>
      <c r="M3003">
        <f t="shared" si="1195"/>
        <v>438</v>
      </c>
      <c r="N3003">
        <f t="shared" si="1196"/>
        <v>62</v>
      </c>
    </row>
    <row r="3004" spans="1:14" x14ac:dyDescent="0.25">
      <c r="A3004">
        <v>122</v>
      </c>
      <c r="B3004" s="1">
        <v>44083</v>
      </c>
      <c r="C3004" t="str">
        <f t="shared" si="1197"/>
        <v>septiembre</v>
      </c>
      <c r="D3004" t="s">
        <v>15</v>
      </c>
      <c r="F3004" t="s">
        <v>29</v>
      </c>
      <c r="G3004">
        <v>21.5</v>
      </c>
      <c r="H3004">
        <v>240</v>
      </c>
      <c r="I3004">
        <f t="shared" si="1194"/>
        <v>5160</v>
      </c>
      <c r="J3004" t="s">
        <v>163</v>
      </c>
      <c r="K3004">
        <v>211</v>
      </c>
      <c r="M3004">
        <f t="shared" si="1195"/>
        <v>4536.5</v>
      </c>
      <c r="N3004">
        <f t="shared" si="1196"/>
        <v>623.5</v>
      </c>
    </row>
    <row r="3005" spans="1:14" x14ac:dyDescent="0.25">
      <c r="A3005">
        <v>123</v>
      </c>
      <c r="B3005" s="1">
        <v>44083</v>
      </c>
      <c r="C3005" t="str">
        <f t="shared" si="1197"/>
        <v>septiembre</v>
      </c>
      <c r="D3005" t="s">
        <v>15</v>
      </c>
      <c r="F3005" t="s">
        <v>28</v>
      </c>
      <c r="G3005">
        <v>2</v>
      </c>
      <c r="H3005">
        <v>240</v>
      </c>
      <c r="I3005">
        <f t="shared" ref="I3005:I3062" si="1198">+G3005*H3005</f>
        <v>480</v>
      </c>
      <c r="J3005" t="s">
        <v>167</v>
      </c>
      <c r="K3005">
        <v>217</v>
      </c>
      <c r="M3005">
        <f t="shared" si="1195"/>
        <v>434</v>
      </c>
      <c r="N3005">
        <f t="shared" si="1196"/>
        <v>46</v>
      </c>
    </row>
    <row r="3006" spans="1:14" x14ac:dyDescent="0.25">
      <c r="A3006">
        <v>124</v>
      </c>
      <c r="B3006" s="1">
        <v>44083</v>
      </c>
      <c r="C3006" t="str">
        <f t="shared" si="1197"/>
        <v>septiembre</v>
      </c>
      <c r="D3006" t="s">
        <v>26</v>
      </c>
      <c r="F3006" t="s">
        <v>47</v>
      </c>
      <c r="G3006">
        <f>5/4*1.44</f>
        <v>1.7999999999999998</v>
      </c>
      <c r="H3006">
        <v>350</v>
      </c>
      <c r="I3006">
        <f t="shared" si="1198"/>
        <v>629.99999999999989</v>
      </c>
      <c r="J3006" t="s">
        <v>99</v>
      </c>
      <c r="K3006">
        <v>260</v>
      </c>
      <c r="M3006">
        <f t="shared" si="1195"/>
        <v>467.99999999999994</v>
      </c>
      <c r="N3006">
        <f t="shared" si="1196"/>
        <v>161.99999999999994</v>
      </c>
    </row>
    <row r="3007" spans="1:14" x14ac:dyDescent="0.25">
      <c r="A3007">
        <v>125</v>
      </c>
      <c r="B3007" s="1">
        <v>44083</v>
      </c>
      <c r="C3007" t="str">
        <f t="shared" si="1197"/>
        <v>septiembre</v>
      </c>
      <c r="D3007" t="s">
        <v>56</v>
      </c>
      <c r="F3007" t="s">
        <v>176</v>
      </c>
      <c r="G3007">
        <v>1</v>
      </c>
      <c r="H3007">
        <v>260</v>
      </c>
      <c r="I3007">
        <f t="shared" si="1198"/>
        <v>260</v>
      </c>
      <c r="J3007" t="s">
        <v>163</v>
      </c>
      <c r="K3007">
        <v>200</v>
      </c>
      <c r="M3007">
        <f t="shared" si="1195"/>
        <v>200</v>
      </c>
      <c r="N3007">
        <f t="shared" si="1196"/>
        <v>60</v>
      </c>
    </row>
    <row r="3008" spans="1:14" x14ac:dyDescent="0.25">
      <c r="A3008">
        <v>126</v>
      </c>
      <c r="B3008" s="1">
        <v>44083</v>
      </c>
      <c r="C3008" t="str">
        <f t="shared" si="1197"/>
        <v>septiembre</v>
      </c>
      <c r="D3008" t="s">
        <v>55</v>
      </c>
      <c r="F3008" t="s">
        <v>416</v>
      </c>
      <c r="G3008">
        <f>8/16</f>
        <v>0.5</v>
      </c>
      <c r="H3008">
        <v>270</v>
      </c>
      <c r="I3008">
        <f t="shared" si="1198"/>
        <v>135</v>
      </c>
      <c r="J3008" t="s">
        <v>167</v>
      </c>
      <c r="K3008">
        <v>207</v>
      </c>
      <c r="M3008">
        <f t="shared" si="1195"/>
        <v>103.5</v>
      </c>
      <c r="N3008">
        <f t="shared" si="1196"/>
        <v>31.5</v>
      </c>
    </row>
    <row r="3009" spans="1:14" x14ac:dyDescent="0.25">
      <c r="A3009">
        <v>127</v>
      </c>
      <c r="B3009" s="1">
        <v>44083</v>
      </c>
      <c r="C3009" t="str">
        <f t="shared" si="1197"/>
        <v>septiembre</v>
      </c>
      <c r="D3009" t="s">
        <v>55</v>
      </c>
      <c r="F3009" t="s">
        <v>479</v>
      </c>
      <c r="G3009">
        <v>8</v>
      </c>
      <c r="H3009">
        <v>300</v>
      </c>
      <c r="I3009">
        <f t="shared" si="1198"/>
        <v>2400</v>
      </c>
      <c r="J3009" t="s">
        <v>167</v>
      </c>
      <c r="K3009">
        <v>268</v>
      </c>
      <c r="M3009">
        <f t="shared" si="1195"/>
        <v>2144</v>
      </c>
      <c r="N3009">
        <f t="shared" si="1196"/>
        <v>256</v>
      </c>
    </row>
    <row r="3010" spans="1:14" x14ac:dyDescent="0.25">
      <c r="A3010">
        <v>128</v>
      </c>
      <c r="B3010" s="1">
        <v>44083</v>
      </c>
      <c r="C3010" t="str">
        <f t="shared" si="1197"/>
        <v>septiembre</v>
      </c>
      <c r="D3010" t="s">
        <v>56</v>
      </c>
      <c r="F3010" t="s">
        <v>267</v>
      </c>
      <c r="G3010">
        <v>3</v>
      </c>
      <c r="H3010">
        <v>170</v>
      </c>
      <c r="I3010">
        <f t="shared" si="1198"/>
        <v>510</v>
      </c>
      <c r="J3010" t="s">
        <v>163</v>
      </c>
      <c r="K3010">
        <v>123</v>
      </c>
      <c r="M3010">
        <f t="shared" si="1195"/>
        <v>369</v>
      </c>
      <c r="N3010">
        <f t="shared" si="1196"/>
        <v>141</v>
      </c>
    </row>
    <row r="3011" spans="1:14" x14ac:dyDescent="0.25">
      <c r="A3011">
        <v>129</v>
      </c>
      <c r="B3011" s="1">
        <v>44083</v>
      </c>
      <c r="C3011" t="str">
        <f t="shared" si="1197"/>
        <v>septiembre</v>
      </c>
      <c r="D3011" t="s">
        <v>24</v>
      </c>
      <c r="F3011" t="s">
        <v>24</v>
      </c>
      <c r="G3011">
        <v>1</v>
      </c>
      <c r="H3011">
        <v>100</v>
      </c>
      <c r="I3011">
        <f t="shared" si="1198"/>
        <v>100</v>
      </c>
      <c r="J3011" t="s">
        <v>186</v>
      </c>
      <c r="K3011">
        <v>80</v>
      </c>
      <c r="M3011">
        <f t="shared" si="1195"/>
        <v>80</v>
      </c>
      <c r="N3011">
        <f t="shared" si="1196"/>
        <v>20</v>
      </c>
    </row>
    <row r="3012" spans="1:14" x14ac:dyDescent="0.25">
      <c r="A3012">
        <v>130</v>
      </c>
      <c r="B3012" s="1">
        <v>44083</v>
      </c>
      <c r="C3012" t="str">
        <f t="shared" si="1197"/>
        <v>septiembre</v>
      </c>
      <c r="D3012" t="s">
        <v>25</v>
      </c>
      <c r="F3012" t="s">
        <v>203</v>
      </c>
      <c r="G3012">
        <v>2</v>
      </c>
      <c r="H3012">
        <v>100</v>
      </c>
      <c r="I3012">
        <f t="shared" si="1198"/>
        <v>200</v>
      </c>
      <c r="J3012" t="s">
        <v>163</v>
      </c>
      <c r="K3012">
        <v>71</v>
      </c>
      <c r="M3012">
        <f t="shared" ref="M3012:M3075" si="1199">+IF(K3012=0,(""),(K3012*G3012))</f>
        <v>142</v>
      </c>
      <c r="N3012">
        <f t="shared" ref="N3012:N3075" si="1200">+IF(K3012=0,(""),(I3012-M3012))</f>
        <v>58</v>
      </c>
    </row>
    <row r="3013" spans="1:14" x14ac:dyDescent="0.25">
      <c r="A3013">
        <v>131</v>
      </c>
      <c r="B3013" s="1">
        <v>44083</v>
      </c>
      <c r="C3013" t="str">
        <f t="shared" si="1197"/>
        <v>septiembre</v>
      </c>
      <c r="D3013" t="s">
        <v>44</v>
      </c>
      <c r="F3013" t="s">
        <v>138</v>
      </c>
      <c r="G3013">
        <v>2</v>
      </c>
      <c r="H3013">
        <v>35</v>
      </c>
      <c r="I3013">
        <f t="shared" si="1198"/>
        <v>70</v>
      </c>
      <c r="J3013" t="s">
        <v>198</v>
      </c>
      <c r="K3013">
        <v>26</v>
      </c>
      <c r="M3013">
        <f t="shared" si="1199"/>
        <v>52</v>
      </c>
      <c r="N3013">
        <f t="shared" si="1200"/>
        <v>18</v>
      </c>
    </row>
    <row r="3014" spans="1:14" x14ac:dyDescent="0.25">
      <c r="A3014">
        <v>132</v>
      </c>
      <c r="B3014" s="1">
        <v>44083</v>
      </c>
      <c r="C3014" t="str">
        <f t="shared" si="1197"/>
        <v>septiembre</v>
      </c>
      <c r="D3014" t="s">
        <v>56</v>
      </c>
      <c r="F3014" t="s">
        <v>390</v>
      </c>
      <c r="G3014">
        <v>2</v>
      </c>
      <c r="H3014">
        <v>120</v>
      </c>
      <c r="I3014">
        <f t="shared" si="1198"/>
        <v>240</v>
      </c>
      <c r="J3014" t="s">
        <v>165</v>
      </c>
      <c r="K3014">
        <v>100</v>
      </c>
      <c r="M3014">
        <f t="shared" si="1199"/>
        <v>200</v>
      </c>
      <c r="N3014">
        <f t="shared" si="1200"/>
        <v>40</v>
      </c>
    </row>
    <row r="3015" spans="1:14" x14ac:dyDescent="0.25">
      <c r="A3015">
        <v>133</v>
      </c>
      <c r="B3015" s="1">
        <v>44083</v>
      </c>
      <c r="C3015" t="str">
        <f t="shared" si="1197"/>
        <v>septiembre</v>
      </c>
      <c r="D3015" t="s">
        <v>78</v>
      </c>
      <c r="F3015" t="s">
        <v>480</v>
      </c>
      <c r="G3015">
        <v>1</v>
      </c>
      <c r="H3015">
        <v>650</v>
      </c>
      <c r="I3015">
        <f t="shared" si="1198"/>
        <v>650</v>
      </c>
      <c r="J3015" t="s">
        <v>166</v>
      </c>
      <c r="K3015">
        <v>434</v>
      </c>
      <c r="M3015">
        <f t="shared" si="1199"/>
        <v>434</v>
      </c>
      <c r="N3015">
        <f t="shared" si="1200"/>
        <v>216</v>
      </c>
    </row>
    <row r="3016" spans="1:14" x14ac:dyDescent="0.25">
      <c r="A3016">
        <v>134</v>
      </c>
      <c r="B3016" s="1">
        <v>44083</v>
      </c>
      <c r="C3016" t="str">
        <f t="shared" si="1197"/>
        <v>septiembre</v>
      </c>
      <c r="D3016" t="s">
        <v>78</v>
      </c>
      <c r="F3016" t="s">
        <v>480</v>
      </c>
      <c r="G3016">
        <v>1</v>
      </c>
      <c r="H3016">
        <v>650</v>
      </c>
      <c r="I3016">
        <f t="shared" si="1198"/>
        <v>650</v>
      </c>
      <c r="J3016" t="s">
        <v>166</v>
      </c>
      <c r="K3016">
        <v>434</v>
      </c>
      <c r="M3016">
        <f t="shared" si="1199"/>
        <v>434</v>
      </c>
      <c r="N3016">
        <f t="shared" si="1200"/>
        <v>216</v>
      </c>
    </row>
    <row r="3017" spans="1:14" x14ac:dyDescent="0.25">
      <c r="A3017">
        <v>135</v>
      </c>
      <c r="B3017" s="1">
        <v>44083</v>
      </c>
      <c r="C3017" t="str">
        <f t="shared" si="1197"/>
        <v>septiembre</v>
      </c>
      <c r="D3017" t="s">
        <v>85</v>
      </c>
      <c r="F3017" t="s">
        <v>216</v>
      </c>
      <c r="G3017">
        <v>1</v>
      </c>
      <c r="H3017">
        <v>900</v>
      </c>
      <c r="I3017">
        <f t="shared" si="1198"/>
        <v>900</v>
      </c>
      <c r="J3017" t="s">
        <v>167</v>
      </c>
      <c r="K3017">
        <v>480</v>
      </c>
      <c r="M3017">
        <f t="shared" si="1199"/>
        <v>480</v>
      </c>
      <c r="N3017">
        <f t="shared" si="1200"/>
        <v>420</v>
      </c>
    </row>
    <row r="3018" spans="1:14" x14ac:dyDescent="0.25">
      <c r="A3018">
        <v>136</v>
      </c>
      <c r="B3018" s="1">
        <v>44083</v>
      </c>
      <c r="C3018" t="str">
        <f t="shared" si="1197"/>
        <v>septiembre</v>
      </c>
      <c r="D3018" t="s">
        <v>85</v>
      </c>
      <c r="F3018" t="s">
        <v>266</v>
      </c>
      <c r="G3018">
        <v>1</v>
      </c>
      <c r="H3018">
        <v>250</v>
      </c>
      <c r="I3018">
        <f t="shared" si="1198"/>
        <v>250</v>
      </c>
      <c r="J3018" t="s">
        <v>198</v>
      </c>
      <c r="K3018">
        <v>170</v>
      </c>
      <c r="M3018">
        <f t="shared" si="1199"/>
        <v>170</v>
      </c>
      <c r="N3018">
        <f t="shared" si="1200"/>
        <v>80</v>
      </c>
    </row>
    <row r="3019" spans="1:14" x14ac:dyDescent="0.25">
      <c r="A3019">
        <v>137</v>
      </c>
      <c r="B3019" s="1">
        <v>44084</v>
      </c>
      <c r="C3019" t="str">
        <f t="shared" si="1197"/>
        <v>septiembre</v>
      </c>
      <c r="D3019" t="s">
        <v>55</v>
      </c>
      <c r="F3019" t="s">
        <v>247</v>
      </c>
      <c r="G3019">
        <v>2</v>
      </c>
      <c r="H3019">
        <v>300</v>
      </c>
      <c r="I3019">
        <f t="shared" si="1198"/>
        <v>600</v>
      </c>
      <c r="J3019" t="s">
        <v>167</v>
      </c>
      <c r="K3019">
        <v>268</v>
      </c>
      <c r="M3019">
        <f t="shared" si="1199"/>
        <v>536</v>
      </c>
      <c r="N3019">
        <f t="shared" si="1200"/>
        <v>64</v>
      </c>
    </row>
    <row r="3020" spans="1:14" x14ac:dyDescent="0.25">
      <c r="A3020">
        <v>138</v>
      </c>
      <c r="B3020" s="1">
        <v>44084</v>
      </c>
      <c r="C3020" t="str">
        <f t="shared" si="1197"/>
        <v>septiembre</v>
      </c>
      <c r="D3020" t="s">
        <v>56</v>
      </c>
      <c r="F3020" t="s">
        <v>267</v>
      </c>
      <c r="G3020">
        <v>2</v>
      </c>
      <c r="H3020">
        <v>170</v>
      </c>
      <c r="I3020">
        <f t="shared" si="1198"/>
        <v>340</v>
      </c>
      <c r="J3020" t="s">
        <v>163</v>
      </c>
      <c r="K3020">
        <v>123</v>
      </c>
      <c r="M3020">
        <f t="shared" si="1199"/>
        <v>246</v>
      </c>
      <c r="N3020">
        <f t="shared" si="1200"/>
        <v>94</v>
      </c>
    </row>
    <row r="3021" spans="1:14" x14ac:dyDescent="0.25">
      <c r="A3021">
        <v>139</v>
      </c>
      <c r="B3021" s="1">
        <v>44084</v>
      </c>
      <c r="C3021" t="str">
        <f t="shared" si="1197"/>
        <v>septiembre</v>
      </c>
      <c r="D3021" t="s">
        <v>44</v>
      </c>
      <c r="F3021" t="s">
        <v>138</v>
      </c>
      <c r="G3021">
        <v>1</v>
      </c>
      <c r="H3021">
        <v>35</v>
      </c>
      <c r="I3021">
        <f t="shared" si="1198"/>
        <v>35</v>
      </c>
      <c r="J3021" t="s">
        <v>198</v>
      </c>
      <c r="K3021">
        <v>26</v>
      </c>
      <c r="M3021">
        <f t="shared" si="1199"/>
        <v>26</v>
      </c>
      <c r="N3021">
        <f t="shared" si="1200"/>
        <v>9</v>
      </c>
    </row>
    <row r="3022" spans="1:14" x14ac:dyDescent="0.25">
      <c r="A3022">
        <v>140</v>
      </c>
      <c r="B3022" s="1">
        <v>44084</v>
      </c>
      <c r="C3022" t="str">
        <f t="shared" si="1197"/>
        <v>septiembre</v>
      </c>
      <c r="D3022" t="s">
        <v>25</v>
      </c>
      <c r="F3022" t="s">
        <v>61</v>
      </c>
      <c r="G3022">
        <v>1</v>
      </c>
      <c r="H3022">
        <v>60</v>
      </c>
      <c r="I3022">
        <f t="shared" si="1198"/>
        <v>60</v>
      </c>
      <c r="J3022" t="s">
        <v>165</v>
      </c>
      <c r="K3022">
        <v>34</v>
      </c>
      <c r="M3022">
        <f t="shared" si="1199"/>
        <v>34</v>
      </c>
      <c r="N3022">
        <f t="shared" si="1200"/>
        <v>26</v>
      </c>
    </row>
    <row r="3023" spans="1:14" x14ac:dyDescent="0.25">
      <c r="A3023">
        <v>141</v>
      </c>
      <c r="B3023" s="1">
        <v>44084</v>
      </c>
      <c r="C3023" t="str">
        <f t="shared" si="1197"/>
        <v>septiembre</v>
      </c>
      <c r="D3023" t="s">
        <v>55</v>
      </c>
      <c r="F3023" t="s">
        <v>22</v>
      </c>
      <c r="G3023">
        <v>2</v>
      </c>
      <c r="H3023">
        <v>300</v>
      </c>
      <c r="I3023">
        <f t="shared" si="1198"/>
        <v>600</v>
      </c>
      <c r="J3023" t="s">
        <v>167</v>
      </c>
      <c r="K3023">
        <v>268</v>
      </c>
      <c r="M3023">
        <f t="shared" si="1199"/>
        <v>536</v>
      </c>
      <c r="N3023">
        <f t="shared" si="1200"/>
        <v>64</v>
      </c>
    </row>
    <row r="3024" spans="1:14" x14ac:dyDescent="0.25">
      <c r="A3024">
        <v>142</v>
      </c>
      <c r="B3024" s="1">
        <v>44084</v>
      </c>
      <c r="C3024" t="str">
        <f t="shared" si="1197"/>
        <v>septiembre</v>
      </c>
      <c r="D3024" t="s">
        <v>15</v>
      </c>
      <c r="F3024" t="s">
        <v>391</v>
      </c>
      <c r="G3024">
        <v>1</v>
      </c>
      <c r="H3024">
        <v>250</v>
      </c>
      <c r="I3024">
        <f t="shared" si="1198"/>
        <v>250</v>
      </c>
      <c r="J3024" t="s">
        <v>167</v>
      </c>
      <c r="K3024">
        <v>219</v>
      </c>
      <c r="M3024">
        <f t="shared" si="1199"/>
        <v>219</v>
      </c>
      <c r="N3024">
        <f t="shared" si="1200"/>
        <v>31</v>
      </c>
    </row>
    <row r="3025" spans="1:14" x14ac:dyDescent="0.25">
      <c r="A3025">
        <v>143</v>
      </c>
      <c r="B3025" s="1">
        <v>44084</v>
      </c>
      <c r="C3025" t="str">
        <f t="shared" si="1197"/>
        <v>septiembre</v>
      </c>
      <c r="D3025" t="s">
        <v>56</v>
      </c>
      <c r="F3025" t="s">
        <v>267</v>
      </c>
      <c r="G3025">
        <v>3</v>
      </c>
      <c r="H3025">
        <v>170</v>
      </c>
      <c r="I3025">
        <f t="shared" si="1198"/>
        <v>510</v>
      </c>
      <c r="J3025" t="s">
        <v>163</v>
      </c>
      <c r="K3025">
        <v>123</v>
      </c>
      <c r="M3025">
        <f t="shared" si="1199"/>
        <v>369</v>
      </c>
      <c r="N3025">
        <f t="shared" si="1200"/>
        <v>141</v>
      </c>
    </row>
    <row r="3026" spans="1:14" x14ac:dyDescent="0.25">
      <c r="A3026">
        <v>144</v>
      </c>
      <c r="B3026" s="1">
        <v>44084</v>
      </c>
      <c r="C3026" t="str">
        <f t="shared" si="1197"/>
        <v>septiembre</v>
      </c>
      <c r="D3026" t="s">
        <v>24</v>
      </c>
      <c r="F3026" t="s">
        <v>24</v>
      </c>
      <c r="G3026">
        <v>2</v>
      </c>
      <c r="H3026">
        <v>100</v>
      </c>
      <c r="I3026">
        <f t="shared" si="1198"/>
        <v>200</v>
      </c>
      <c r="J3026" t="s">
        <v>186</v>
      </c>
      <c r="K3026">
        <v>80</v>
      </c>
      <c r="M3026">
        <f t="shared" si="1199"/>
        <v>160</v>
      </c>
      <c r="N3026">
        <f t="shared" si="1200"/>
        <v>40</v>
      </c>
    </row>
    <row r="3027" spans="1:14" x14ac:dyDescent="0.25">
      <c r="A3027">
        <v>145</v>
      </c>
      <c r="B3027" s="1">
        <v>44084</v>
      </c>
      <c r="C3027" t="str">
        <f t="shared" si="1197"/>
        <v>septiembre</v>
      </c>
      <c r="D3027" t="s">
        <v>44</v>
      </c>
      <c r="F3027" t="s">
        <v>138</v>
      </c>
      <c r="G3027">
        <v>1</v>
      </c>
      <c r="H3027">
        <v>35</v>
      </c>
      <c r="I3027">
        <f t="shared" si="1198"/>
        <v>35</v>
      </c>
      <c r="J3027" t="s">
        <v>198</v>
      </c>
      <c r="K3027">
        <v>26</v>
      </c>
      <c r="M3027">
        <f t="shared" si="1199"/>
        <v>26</v>
      </c>
      <c r="N3027">
        <f t="shared" si="1200"/>
        <v>9</v>
      </c>
    </row>
    <row r="3028" spans="1:14" x14ac:dyDescent="0.25">
      <c r="A3028">
        <v>146</v>
      </c>
      <c r="B3028" s="1">
        <v>44084</v>
      </c>
      <c r="C3028" t="str">
        <f t="shared" si="1197"/>
        <v>septiembre</v>
      </c>
      <c r="D3028" t="s">
        <v>15</v>
      </c>
      <c r="F3028" t="s">
        <v>481</v>
      </c>
      <c r="G3028">
        <v>3</v>
      </c>
      <c r="H3028">
        <v>250</v>
      </c>
      <c r="I3028">
        <f t="shared" si="1198"/>
        <v>750</v>
      </c>
      <c r="J3028" t="s">
        <v>163</v>
      </c>
      <c r="K3028">
        <v>220</v>
      </c>
      <c r="M3028">
        <f t="shared" si="1199"/>
        <v>660</v>
      </c>
      <c r="N3028">
        <f t="shared" si="1200"/>
        <v>90</v>
      </c>
    </row>
    <row r="3029" spans="1:14" x14ac:dyDescent="0.25">
      <c r="A3029">
        <v>147</v>
      </c>
      <c r="B3029" s="1">
        <v>44085</v>
      </c>
      <c r="C3029" t="str">
        <f t="shared" si="1197"/>
        <v>septiembre</v>
      </c>
      <c r="D3029" t="s">
        <v>75</v>
      </c>
      <c r="F3029" t="s">
        <v>442</v>
      </c>
      <c r="G3029">
        <v>15</v>
      </c>
      <c r="H3029">
        <v>45</v>
      </c>
      <c r="I3029">
        <f t="shared" si="1198"/>
        <v>675</v>
      </c>
      <c r="J3029" t="s">
        <v>163</v>
      </c>
      <c r="K3029">
        <v>27</v>
      </c>
      <c r="M3029">
        <f t="shared" si="1199"/>
        <v>405</v>
      </c>
      <c r="N3029">
        <f t="shared" si="1200"/>
        <v>270</v>
      </c>
    </row>
    <row r="3030" spans="1:14" x14ac:dyDescent="0.25">
      <c r="A3030">
        <v>148</v>
      </c>
      <c r="B3030" s="1">
        <v>44085</v>
      </c>
      <c r="C3030" t="str">
        <f t="shared" si="1197"/>
        <v>septiembre</v>
      </c>
      <c r="D3030" t="s">
        <v>55</v>
      </c>
      <c r="F3030" t="s">
        <v>22</v>
      </c>
      <c r="G3030">
        <v>4</v>
      </c>
      <c r="H3030">
        <v>300</v>
      </c>
      <c r="I3030">
        <f t="shared" si="1198"/>
        <v>1200</v>
      </c>
      <c r="J3030" t="s">
        <v>167</v>
      </c>
      <c r="K3030">
        <v>268</v>
      </c>
      <c r="M3030">
        <f t="shared" si="1199"/>
        <v>1072</v>
      </c>
      <c r="N3030">
        <f t="shared" si="1200"/>
        <v>128</v>
      </c>
    </row>
    <row r="3031" spans="1:14" x14ac:dyDescent="0.25">
      <c r="A3031">
        <v>149</v>
      </c>
      <c r="B3031" s="1">
        <v>44085</v>
      </c>
      <c r="C3031" t="str">
        <f t="shared" si="1197"/>
        <v>septiembre</v>
      </c>
      <c r="D3031" t="s">
        <v>56</v>
      </c>
      <c r="F3031" t="s">
        <v>267</v>
      </c>
      <c r="G3031">
        <v>2</v>
      </c>
      <c r="H3031">
        <v>170</v>
      </c>
      <c r="I3031">
        <f t="shared" si="1198"/>
        <v>340</v>
      </c>
      <c r="J3031" t="s">
        <v>163</v>
      </c>
      <c r="K3031">
        <v>123</v>
      </c>
      <c r="M3031">
        <f t="shared" si="1199"/>
        <v>246</v>
      </c>
      <c r="N3031">
        <f t="shared" si="1200"/>
        <v>94</v>
      </c>
    </row>
    <row r="3032" spans="1:14" x14ac:dyDescent="0.25">
      <c r="A3032">
        <v>150</v>
      </c>
      <c r="B3032" s="1">
        <v>44085</v>
      </c>
      <c r="C3032" t="str">
        <f t="shared" si="1197"/>
        <v>septiembre</v>
      </c>
      <c r="D3032" t="s">
        <v>44</v>
      </c>
      <c r="F3032" t="s">
        <v>138</v>
      </c>
      <c r="G3032">
        <v>1</v>
      </c>
      <c r="H3032">
        <v>35</v>
      </c>
      <c r="I3032">
        <f t="shared" si="1198"/>
        <v>35</v>
      </c>
      <c r="J3032" t="s">
        <v>198</v>
      </c>
      <c r="K3032">
        <v>26</v>
      </c>
      <c r="M3032">
        <f t="shared" si="1199"/>
        <v>26</v>
      </c>
      <c r="N3032">
        <f t="shared" si="1200"/>
        <v>9</v>
      </c>
    </row>
    <row r="3033" spans="1:14" x14ac:dyDescent="0.25">
      <c r="A3033">
        <v>151</v>
      </c>
      <c r="B3033" s="1">
        <v>44085</v>
      </c>
      <c r="C3033" t="str">
        <f t="shared" si="1197"/>
        <v>septiembre</v>
      </c>
      <c r="D3033" t="s">
        <v>55</v>
      </c>
      <c r="F3033" t="s">
        <v>22</v>
      </c>
      <c r="G3033">
        <v>3</v>
      </c>
      <c r="H3033">
        <v>300</v>
      </c>
      <c r="I3033">
        <f t="shared" si="1198"/>
        <v>900</v>
      </c>
      <c r="J3033" t="s">
        <v>167</v>
      </c>
      <c r="K3033">
        <v>268</v>
      </c>
      <c r="M3033">
        <f t="shared" si="1199"/>
        <v>804</v>
      </c>
      <c r="N3033">
        <f t="shared" si="1200"/>
        <v>96</v>
      </c>
    </row>
    <row r="3034" spans="1:14" x14ac:dyDescent="0.25">
      <c r="A3034">
        <v>152</v>
      </c>
      <c r="B3034" s="1">
        <v>44085</v>
      </c>
      <c r="C3034" t="str">
        <f t="shared" si="1197"/>
        <v>septiembre</v>
      </c>
      <c r="D3034" t="s">
        <v>56</v>
      </c>
      <c r="F3034" t="s">
        <v>390</v>
      </c>
      <c r="G3034">
        <v>1</v>
      </c>
      <c r="H3034">
        <v>120</v>
      </c>
      <c r="I3034">
        <f t="shared" si="1198"/>
        <v>120</v>
      </c>
      <c r="J3034" t="s">
        <v>165</v>
      </c>
      <c r="K3034">
        <v>100</v>
      </c>
      <c r="M3034">
        <f t="shared" si="1199"/>
        <v>100</v>
      </c>
      <c r="N3034">
        <f t="shared" si="1200"/>
        <v>20</v>
      </c>
    </row>
    <row r="3035" spans="1:14" x14ac:dyDescent="0.25">
      <c r="A3035">
        <v>153</v>
      </c>
      <c r="B3035" s="1">
        <v>44085</v>
      </c>
      <c r="C3035" t="str">
        <f t="shared" si="1197"/>
        <v>septiembre</v>
      </c>
      <c r="D3035" t="s">
        <v>55</v>
      </c>
      <c r="F3035" t="s">
        <v>22</v>
      </c>
      <c r="G3035">
        <f>7/17</f>
        <v>0.41176470588235292</v>
      </c>
      <c r="H3035">
        <v>300</v>
      </c>
      <c r="I3035">
        <f t="shared" si="1198"/>
        <v>123.52941176470587</v>
      </c>
      <c r="J3035" t="s">
        <v>167</v>
      </c>
      <c r="K3035">
        <v>268</v>
      </c>
      <c r="M3035">
        <f t="shared" si="1199"/>
        <v>110.35294117647058</v>
      </c>
      <c r="N3035">
        <f t="shared" si="1200"/>
        <v>13.17647058823529</v>
      </c>
    </row>
    <row r="3036" spans="1:14" x14ac:dyDescent="0.25">
      <c r="A3036">
        <v>154</v>
      </c>
      <c r="B3036" s="1">
        <v>44085</v>
      </c>
      <c r="C3036" t="str">
        <f t="shared" si="1197"/>
        <v>septiembre</v>
      </c>
      <c r="D3036" t="s">
        <v>25</v>
      </c>
      <c r="F3036" t="s">
        <v>482</v>
      </c>
      <c r="G3036">
        <v>1</v>
      </c>
      <c r="H3036">
        <v>100</v>
      </c>
      <c r="I3036">
        <f t="shared" si="1198"/>
        <v>100</v>
      </c>
      <c r="J3036" t="s">
        <v>163</v>
      </c>
      <c r="K3036">
        <v>71</v>
      </c>
      <c r="M3036">
        <f t="shared" si="1199"/>
        <v>71</v>
      </c>
      <c r="N3036">
        <f t="shared" si="1200"/>
        <v>29</v>
      </c>
    </row>
    <row r="3037" spans="1:14" x14ac:dyDescent="0.25">
      <c r="A3037">
        <v>155</v>
      </c>
      <c r="B3037" s="1">
        <v>44085</v>
      </c>
      <c r="C3037" t="str">
        <f t="shared" si="1197"/>
        <v>septiembre</v>
      </c>
      <c r="D3037" t="s">
        <v>15</v>
      </c>
      <c r="F3037" t="s">
        <v>29</v>
      </c>
      <c r="G3037">
        <f>4/9</f>
        <v>0.44444444444444442</v>
      </c>
      <c r="H3037">
        <v>240</v>
      </c>
      <c r="I3037">
        <f t="shared" si="1198"/>
        <v>106.66666666666666</v>
      </c>
      <c r="J3037" t="s">
        <v>163</v>
      </c>
      <c r="K3037">
        <v>211</v>
      </c>
      <c r="M3037">
        <f t="shared" si="1199"/>
        <v>93.777777777777771</v>
      </c>
      <c r="N3037">
        <f t="shared" si="1200"/>
        <v>12.888888888888886</v>
      </c>
    </row>
    <row r="3038" spans="1:14" x14ac:dyDescent="0.25">
      <c r="A3038">
        <v>156</v>
      </c>
      <c r="B3038" s="1">
        <v>44085</v>
      </c>
      <c r="C3038" t="str">
        <f t="shared" ref="C3038:C3101" si="1201">+TEXT(B3038,"mmmm")</f>
        <v>septiembre</v>
      </c>
      <c r="D3038" t="s">
        <v>25</v>
      </c>
      <c r="F3038" t="s">
        <v>145</v>
      </c>
      <c r="G3038">
        <v>1</v>
      </c>
      <c r="H3038">
        <v>100</v>
      </c>
      <c r="I3038">
        <f t="shared" si="1198"/>
        <v>100</v>
      </c>
      <c r="J3038" t="s">
        <v>163</v>
      </c>
      <c r="K3038">
        <v>71</v>
      </c>
      <c r="M3038">
        <f t="shared" si="1199"/>
        <v>71</v>
      </c>
      <c r="N3038">
        <f t="shared" si="1200"/>
        <v>29</v>
      </c>
    </row>
    <row r="3039" spans="1:14" x14ac:dyDescent="0.25">
      <c r="A3039">
        <v>157</v>
      </c>
      <c r="B3039" s="1">
        <v>44085</v>
      </c>
      <c r="C3039" t="str">
        <f t="shared" si="1201"/>
        <v>septiembre</v>
      </c>
      <c r="D3039" t="s">
        <v>15</v>
      </c>
      <c r="F3039" t="s">
        <v>481</v>
      </c>
      <c r="G3039">
        <v>4</v>
      </c>
      <c r="H3039">
        <v>250</v>
      </c>
      <c r="I3039">
        <f t="shared" si="1198"/>
        <v>1000</v>
      </c>
      <c r="J3039" t="s">
        <v>163</v>
      </c>
      <c r="K3039">
        <v>220</v>
      </c>
      <c r="M3039">
        <f t="shared" si="1199"/>
        <v>880</v>
      </c>
      <c r="N3039">
        <f t="shared" si="1200"/>
        <v>120</v>
      </c>
    </row>
    <row r="3040" spans="1:14" x14ac:dyDescent="0.25">
      <c r="A3040">
        <v>158</v>
      </c>
      <c r="B3040" s="1">
        <v>44085</v>
      </c>
      <c r="C3040" t="str">
        <f t="shared" si="1201"/>
        <v>septiembre</v>
      </c>
      <c r="D3040" t="s">
        <v>15</v>
      </c>
      <c r="F3040" t="s">
        <v>481</v>
      </c>
      <c r="G3040">
        <v>4</v>
      </c>
      <c r="H3040">
        <v>250</v>
      </c>
      <c r="I3040">
        <f t="shared" si="1198"/>
        <v>1000</v>
      </c>
      <c r="J3040" t="s">
        <v>163</v>
      </c>
      <c r="K3040">
        <v>220</v>
      </c>
      <c r="M3040">
        <f t="shared" si="1199"/>
        <v>880</v>
      </c>
      <c r="N3040">
        <f t="shared" si="1200"/>
        <v>120</v>
      </c>
    </row>
    <row r="3041" spans="1:14" x14ac:dyDescent="0.25">
      <c r="A3041">
        <v>159</v>
      </c>
      <c r="B3041" s="1">
        <v>44085</v>
      </c>
      <c r="C3041" t="str">
        <f t="shared" si="1201"/>
        <v>septiembre</v>
      </c>
      <c r="D3041" t="s">
        <v>15</v>
      </c>
      <c r="F3041" t="s">
        <v>20</v>
      </c>
      <c r="G3041">
        <v>16</v>
      </c>
      <c r="H3041">
        <v>270</v>
      </c>
      <c r="I3041">
        <f t="shared" si="1198"/>
        <v>4320</v>
      </c>
      <c r="J3041" t="s">
        <v>163</v>
      </c>
      <c r="K3041">
        <v>232</v>
      </c>
      <c r="M3041">
        <f t="shared" si="1199"/>
        <v>3712</v>
      </c>
      <c r="N3041">
        <f t="shared" si="1200"/>
        <v>608</v>
      </c>
    </row>
    <row r="3042" spans="1:14" x14ac:dyDescent="0.25">
      <c r="A3042">
        <v>160</v>
      </c>
      <c r="B3042" s="1">
        <v>44085</v>
      </c>
      <c r="C3042" t="str">
        <f t="shared" si="1201"/>
        <v>septiembre</v>
      </c>
      <c r="D3042" t="s">
        <v>44</v>
      </c>
      <c r="F3042" t="s">
        <v>138</v>
      </c>
      <c r="G3042">
        <v>1</v>
      </c>
      <c r="H3042">
        <v>35</v>
      </c>
      <c r="I3042">
        <f t="shared" si="1198"/>
        <v>35</v>
      </c>
      <c r="J3042" t="s">
        <v>198</v>
      </c>
      <c r="K3042">
        <v>26</v>
      </c>
      <c r="M3042">
        <f t="shared" si="1199"/>
        <v>26</v>
      </c>
      <c r="N3042">
        <f t="shared" si="1200"/>
        <v>9</v>
      </c>
    </row>
    <row r="3043" spans="1:14" x14ac:dyDescent="0.25">
      <c r="A3043">
        <v>161</v>
      </c>
      <c r="B3043" s="1">
        <v>44085</v>
      </c>
      <c r="C3043" t="str">
        <f t="shared" si="1201"/>
        <v>septiembre</v>
      </c>
      <c r="D3043" t="s">
        <v>25</v>
      </c>
      <c r="F3043" t="s">
        <v>218</v>
      </c>
      <c r="G3043">
        <v>1</v>
      </c>
      <c r="H3043">
        <v>100</v>
      </c>
      <c r="I3043">
        <f t="shared" si="1198"/>
        <v>100</v>
      </c>
      <c r="J3043" t="s">
        <v>163</v>
      </c>
      <c r="K3043">
        <v>71</v>
      </c>
      <c r="M3043">
        <f t="shared" si="1199"/>
        <v>71</v>
      </c>
      <c r="N3043">
        <f t="shared" si="1200"/>
        <v>29</v>
      </c>
    </row>
    <row r="3044" spans="1:14" x14ac:dyDescent="0.25">
      <c r="A3044">
        <v>162</v>
      </c>
      <c r="B3044" s="1">
        <v>44085</v>
      </c>
      <c r="C3044" t="str">
        <f t="shared" si="1201"/>
        <v>septiembre</v>
      </c>
      <c r="D3044" t="s">
        <v>55</v>
      </c>
      <c r="F3044" t="s">
        <v>22</v>
      </c>
      <c r="G3044">
        <f>6/17</f>
        <v>0.35294117647058826</v>
      </c>
      <c r="H3044">
        <v>300</v>
      </c>
      <c r="I3044">
        <f t="shared" si="1198"/>
        <v>105.88235294117648</v>
      </c>
      <c r="J3044" t="s">
        <v>167</v>
      </c>
      <c r="K3044">
        <v>268</v>
      </c>
      <c r="M3044">
        <f t="shared" si="1199"/>
        <v>94.588235294117652</v>
      </c>
      <c r="N3044">
        <f t="shared" si="1200"/>
        <v>11.294117647058826</v>
      </c>
    </row>
    <row r="3045" spans="1:14" x14ac:dyDescent="0.25">
      <c r="A3045">
        <v>163</v>
      </c>
      <c r="B3045" s="1">
        <v>44085</v>
      </c>
      <c r="C3045" t="str">
        <f t="shared" si="1201"/>
        <v>septiembre</v>
      </c>
      <c r="D3045" t="s">
        <v>15</v>
      </c>
      <c r="F3045" t="s">
        <v>20</v>
      </c>
      <c r="G3045">
        <v>2</v>
      </c>
      <c r="H3045">
        <v>270</v>
      </c>
      <c r="I3045">
        <f t="shared" si="1198"/>
        <v>540</v>
      </c>
      <c r="J3045" t="s">
        <v>163</v>
      </c>
      <c r="K3045">
        <v>232</v>
      </c>
      <c r="M3045">
        <f t="shared" si="1199"/>
        <v>464</v>
      </c>
      <c r="N3045">
        <f t="shared" si="1200"/>
        <v>76</v>
      </c>
    </row>
    <row r="3046" spans="1:14" x14ac:dyDescent="0.25">
      <c r="A3046">
        <v>164</v>
      </c>
      <c r="B3046" s="1">
        <v>44085</v>
      </c>
      <c r="C3046" t="str">
        <f t="shared" si="1201"/>
        <v>septiembre</v>
      </c>
      <c r="D3046" t="s">
        <v>56</v>
      </c>
      <c r="F3046" t="s">
        <v>267</v>
      </c>
      <c r="G3046">
        <v>2</v>
      </c>
      <c r="H3046">
        <v>170</v>
      </c>
      <c r="I3046">
        <f t="shared" si="1198"/>
        <v>340</v>
      </c>
      <c r="J3046" t="s">
        <v>163</v>
      </c>
      <c r="K3046">
        <v>123</v>
      </c>
      <c r="M3046">
        <f t="shared" si="1199"/>
        <v>246</v>
      </c>
      <c r="N3046">
        <f t="shared" si="1200"/>
        <v>94</v>
      </c>
    </row>
    <row r="3047" spans="1:14" x14ac:dyDescent="0.25">
      <c r="A3047">
        <v>165</v>
      </c>
      <c r="B3047" s="1">
        <v>44085</v>
      </c>
      <c r="C3047" t="str">
        <f t="shared" si="1201"/>
        <v>septiembre</v>
      </c>
      <c r="D3047" t="s">
        <v>15</v>
      </c>
      <c r="F3047" t="s">
        <v>401</v>
      </c>
      <c r="G3047">
        <v>4</v>
      </c>
      <c r="H3047">
        <v>300</v>
      </c>
      <c r="I3047">
        <f t="shared" si="1198"/>
        <v>1200</v>
      </c>
      <c r="J3047" t="s">
        <v>167</v>
      </c>
      <c r="K3047">
        <v>268</v>
      </c>
      <c r="M3047">
        <f t="shared" si="1199"/>
        <v>1072</v>
      </c>
      <c r="N3047">
        <f t="shared" si="1200"/>
        <v>128</v>
      </c>
    </row>
    <row r="3048" spans="1:14" x14ac:dyDescent="0.25">
      <c r="A3048">
        <v>166</v>
      </c>
      <c r="B3048" s="1">
        <v>44085</v>
      </c>
      <c r="C3048" t="str">
        <f t="shared" si="1201"/>
        <v>septiembre</v>
      </c>
      <c r="D3048" t="s">
        <v>56</v>
      </c>
      <c r="F3048" t="s">
        <v>267</v>
      </c>
      <c r="G3048">
        <v>1</v>
      </c>
      <c r="H3048">
        <v>170</v>
      </c>
      <c r="I3048">
        <f t="shared" si="1198"/>
        <v>170</v>
      </c>
      <c r="J3048" t="s">
        <v>163</v>
      </c>
      <c r="K3048">
        <v>123</v>
      </c>
      <c r="M3048">
        <f t="shared" si="1199"/>
        <v>123</v>
      </c>
      <c r="N3048">
        <f t="shared" si="1200"/>
        <v>47</v>
      </c>
    </row>
    <row r="3049" spans="1:14" x14ac:dyDescent="0.25">
      <c r="A3049">
        <v>167</v>
      </c>
      <c r="B3049" s="1">
        <v>44085</v>
      </c>
      <c r="C3049" t="str">
        <f t="shared" si="1201"/>
        <v>septiembre</v>
      </c>
      <c r="D3049" t="s">
        <v>55</v>
      </c>
      <c r="F3049" t="s">
        <v>399</v>
      </c>
      <c r="G3049">
        <f>1/17</f>
        <v>5.8823529411764705E-2</v>
      </c>
      <c r="H3049">
        <v>300</v>
      </c>
      <c r="I3049">
        <f t="shared" si="1198"/>
        <v>17.647058823529413</v>
      </c>
      <c r="J3049" t="s">
        <v>167</v>
      </c>
      <c r="K3049">
        <v>268</v>
      </c>
      <c r="M3049">
        <f t="shared" si="1199"/>
        <v>15.76470588235294</v>
      </c>
      <c r="N3049">
        <f t="shared" si="1200"/>
        <v>1.8823529411764728</v>
      </c>
    </row>
    <row r="3050" spans="1:14" x14ac:dyDescent="0.25">
      <c r="A3050">
        <v>168</v>
      </c>
      <c r="B3050" s="1">
        <v>44085</v>
      </c>
      <c r="C3050" t="str">
        <f t="shared" si="1201"/>
        <v>septiembre</v>
      </c>
      <c r="D3050" t="s">
        <v>25</v>
      </c>
      <c r="F3050" t="s">
        <v>130</v>
      </c>
      <c r="G3050">
        <v>1</v>
      </c>
      <c r="H3050">
        <v>60</v>
      </c>
      <c r="I3050">
        <f t="shared" si="1198"/>
        <v>60</v>
      </c>
      <c r="J3050" t="s">
        <v>165</v>
      </c>
      <c r="K3050">
        <v>34</v>
      </c>
      <c r="M3050">
        <f t="shared" si="1199"/>
        <v>34</v>
      </c>
      <c r="N3050">
        <f t="shared" si="1200"/>
        <v>26</v>
      </c>
    </row>
    <row r="3051" spans="1:14" x14ac:dyDescent="0.25">
      <c r="A3051">
        <v>169</v>
      </c>
      <c r="B3051" s="1">
        <v>44086</v>
      </c>
      <c r="C3051" t="str">
        <f t="shared" si="1201"/>
        <v>septiembre</v>
      </c>
      <c r="D3051" t="s">
        <v>55</v>
      </c>
      <c r="F3051" t="s">
        <v>399</v>
      </c>
      <c r="G3051">
        <f>1/17</f>
        <v>5.8823529411764705E-2</v>
      </c>
      <c r="H3051">
        <v>300</v>
      </c>
      <c r="I3051">
        <f t="shared" si="1198"/>
        <v>17.647058823529413</v>
      </c>
      <c r="J3051" t="s">
        <v>167</v>
      </c>
      <c r="K3051">
        <v>268</v>
      </c>
      <c r="M3051">
        <f t="shared" si="1199"/>
        <v>15.76470588235294</v>
      </c>
      <c r="N3051">
        <f t="shared" si="1200"/>
        <v>1.8823529411764728</v>
      </c>
    </row>
    <row r="3052" spans="1:14" x14ac:dyDescent="0.25">
      <c r="A3052">
        <v>170</v>
      </c>
      <c r="B3052" s="1">
        <v>44086</v>
      </c>
      <c r="C3052" t="str">
        <f t="shared" si="1201"/>
        <v>septiembre</v>
      </c>
      <c r="D3052" t="s">
        <v>15</v>
      </c>
      <c r="F3052" t="s">
        <v>481</v>
      </c>
      <c r="G3052">
        <f>2/8</f>
        <v>0.25</v>
      </c>
      <c r="H3052">
        <v>250</v>
      </c>
      <c r="I3052">
        <f t="shared" si="1198"/>
        <v>62.5</v>
      </c>
      <c r="J3052" t="s">
        <v>163</v>
      </c>
      <c r="K3052">
        <v>220</v>
      </c>
      <c r="M3052">
        <f t="shared" si="1199"/>
        <v>55</v>
      </c>
      <c r="N3052">
        <f t="shared" si="1200"/>
        <v>7.5</v>
      </c>
    </row>
    <row r="3053" spans="1:14" x14ac:dyDescent="0.25">
      <c r="A3053">
        <v>171</v>
      </c>
      <c r="B3053" s="1">
        <v>44086</v>
      </c>
      <c r="C3053" t="str">
        <f t="shared" si="1201"/>
        <v>septiembre</v>
      </c>
      <c r="D3053" t="s">
        <v>92</v>
      </c>
      <c r="F3053" t="s">
        <v>91</v>
      </c>
      <c r="G3053">
        <v>1</v>
      </c>
      <c r="H3053">
        <v>35</v>
      </c>
      <c r="I3053">
        <f t="shared" si="1198"/>
        <v>35</v>
      </c>
      <c r="J3053" t="s">
        <v>198</v>
      </c>
      <c r="K3053">
        <v>22</v>
      </c>
      <c r="M3053">
        <f t="shared" si="1199"/>
        <v>22</v>
      </c>
      <c r="N3053">
        <f t="shared" si="1200"/>
        <v>13</v>
      </c>
    </row>
    <row r="3054" spans="1:14" x14ac:dyDescent="0.25">
      <c r="A3054">
        <v>172</v>
      </c>
      <c r="B3054" s="1">
        <v>44086</v>
      </c>
      <c r="C3054" t="str">
        <f t="shared" si="1201"/>
        <v>septiembre</v>
      </c>
      <c r="D3054" t="s">
        <v>15</v>
      </c>
      <c r="F3054" t="s">
        <v>401</v>
      </c>
      <c r="G3054">
        <v>1</v>
      </c>
      <c r="H3054">
        <v>300</v>
      </c>
      <c r="I3054">
        <f t="shared" si="1198"/>
        <v>300</v>
      </c>
      <c r="J3054" t="s">
        <v>167</v>
      </c>
      <c r="K3054">
        <v>268</v>
      </c>
      <c r="M3054">
        <f t="shared" si="1199"/>
        <v>268</v>
      </c>
      <c r="N3054">
        <f t="shared" si="1200"/>
        <v>32</v>
      </c>
    </row>
    <row r="3055" spans="1:14" x14ac:dyDescent="0.25">
      <c r="A3055">
        <v>173</v>
      </c>
      <c r="B3055" s="1">
        <v>44086</v>
      </c>
      <c r="C3055" t="str">
        <f t="shared" si="1201"/>
        <v>septiembre</v>
      </c>
      <c r="D3055" t="s">
        <v>56</v>
      </c>
      <c r="F3055" t="s">
        <v>267</v>
      </c>
      <c r="G3055">
        <v>1</v>
      </c>
      <c r="H3055">
        <v>170</v>
      </c>
      <c r="I3055">
        <f t="shared" si="1198"/>
        <v>170</v>
      </c>
      <c r="J3055" t="s">
        <v>163</v>
      </c>
      <c r="K3055">
        <v>123</v>
      </c>
      <c r="M3055">
        <f t="shared" si="1199"/>
        <v>123</v>
      </c>
      <c r="N3055">
        <f t="shared" si="1200"/>
        <v>47</v>
      </c>
    </row>
    <row r="3056" spans="1:14" x14ac:dyDescent="0.25">
      <c r="A3056">
        <v>174</v>
      </c>
      <c r="B3056" s="1">
        <v>44086</v>
      </c>
      <c r="C3056" t="str">
        <f t="shared" si="1201"/>
        <v>septiembre</v>
      </c>
      <c r="D3056" t="s">
        <v>55</v>
      </c>
      <c r="F3056" t="s">
        <v>247</v>
      </c>
      <c r="G3056">
        <v>2</v>
      </c>
      <c r="H3056">
        <v>300</v>
      </c>
      <c r="I3056">
        <f t="shared" si="1198"/>
        <v>600</v>
      </c>
      <c r="J3056" t="s">
        <v>167</v>
      </c>
      <c r="K3056">
        <v>268</v>
      </c>
      <c r="M3056">
        <f t="shared" si="1199"/>
        <v>536</v>
      </c>
      <c r="N3056">
        <f t="shared" si="1200"/>
        <v>64</v>
      </c>
    </row>
    <row r="3057" spans="1:14" x14ac:dyDescent="0.25">
      <c r="A3057">
        <v>175</v>
      </c>
      <c r="B3057" s="1">
        <v>44086</v>
      </c>
      <c r="C3057" t="str">
        <f t="shared" si="1201"/>
        <v>septiembre</v>
      </c>
      <c r="D3057" t="s">
        <v>55</v>
      </c>
      <c r="F3057" t="s">
        <v>22</v>
      </c>
      <c r="G3057">
        <v>1.5</v>
      </c>
      <c r="H3057">
        <v>300</v>
      </c>
      <c r="I3057">
        <f t="shared" si="1198"/>
        <v>450</v>
      </c>
      <c r="J3057" t="s">
        <v>167</v>
      </c>
      <c r="K3057">
        <v>268</v>
      </c>
      <c r="M3057">
        <f t="shared" si="1199"/>
        <v>402</v>
      </c>
      <c r="N3057">
        <f t="shared" si="1200"/>
        <v>48</v>
      </c>
    </row>
    <row r="3058" spans="1:14" x14ac:dyDescent="0.25">
      <c r="A3058">
        <v>176</v>
      </c>
      <c r="B3058" s="1">
        <v>44086</v>
      </c>
      <c r="C3058" t="str">
        <f t="shared" si="1201"/>
        <v>septiembre</v>
      </c>
      <c r="D3058" t="s">
        <v>55</v>
      </c>
      <c r="F3058" t="s">
        <v>108</v>
      </c>
      <c r="G3058">
        <f>18/17</f>
        <v>1.0588235294117647</v>
      </c>
      <c r="H3058">
        <v>300</v>
      </c>
      <c r="I3058">
        <f t="shared" si="1198"/>
        <v>317.64705882352939</v>
      </c>
      <c r="J3058" t="s">
        <v>167</v>
      </c>
      <c r="K3058">
        <v>268</v>
      </c>
      <c r="M3058">
        <f t="shared" si="1199"/>
        <v>283.76470588235293</v>
      </c>
      <c r="N3058">
        <f t="shared" si="1200"/>
        <v>33.882352941176464</v>
      </c>
    </row>
    <row r="3059" spans="1:14" x14ac:dyDescent="0.25">
      <c r="A3059">
        <v>177</v>
      </c>
      <c r="B3059" s="1">
        <v>44086</v>
      </c>
      <c r="C3059" t="str">
        <f t="shared" si="1201"/>
        <v>septiembre</v>
      </c>
      <c r="D3059" t="s">
        <v>15</v>
      </c>
      <c r="F3059" t="s">
        <v>28</v>
      </c>
      <c r="G3059">
        <f>3/9</f>
        <v>0.33333333333333331</v>
      </c>
      <c r="H3059">
        <v>280</v>
      </c>
      <c r="I3059">
        <f t="shared" si="1198"/>
        <v>93.333333333333329</v>
      </c>
      <c r="J3059" t="s">
        <v>163</v>
      </c>
      <c r="K3059">
        <v>217</v>
      </c>
      <c r="M3059">
        <f t="shared" si="1199"/>
        <v>72.333333333333329</v>
      </c>
      <c r="N3059">
        <f t="shared" si="1200"/>
        <v>21</v>
      </c>
    </row>
    <row r="3060" spans="1:14" x14ac:dyDescent="0.25">
      <c r="A3060">
        <v>178</v>
      </c>
      <c r="B3060" s="1">
        <v>44086</v>
      </c>
      <c r="C3060" t="str">
        <f t="shared" si="1201"/>
        <v>septiembre</v>
      </c>
      <c r="D3060" t="s">
        <v>24</v>
      </c>
      <c r="F3060" t="s">
        <v>24</v>
      </c>
      <c r="G3060">
        <v>1</v>
      </c>
      <c r="H3060">
        <v>100</v>
      </c>
      <c r="I3060">
        <f t="shared" si="1198"/>
        <v>100</v>
      </c>
      <c r="J3060" t="s">
        <v>186</v>
      </c>
      <c r="K3060">
        <v>80</v>
      </c>
      <c r="M3060">
        <f t="shared" si="1199"/>
        <v>80</v>
      </c>
      <c r="N3060">
        <f t="shared" si="1200"/>
        <v>20</v>
      </c>
    </row>
    <row r="3061" spans="1:14" x14ac:dyDescent="0.25">
      <c r="A3061">
        <v>179</v>
      </c>
      <c r="B3061" s="1">
        <v>44086</v>
      </c>
      <c r="C3061" t="str">
        <f t="shared" si="1201"/>
        <v>septiembre</v>
      </c>
      <c r="D3061" t="s">
        <v>56</v>
      </c>
      <c r="F3061" t="s">
        <v>267</v>
      </c>
      <c r="G3061">
        <v>1</v>
      </c>
      <c r="H3061">
        <v>170</v>
      </c>
      <c r="I3061">
        <f t="shared" si="1198"/>
        <v>170</v>
      </c>
      <c r="J3061" t="s">
        <v>163</v>
      </c>
      <c r="K3061">
        <v>123</v>
      </c>
      <c r="M3061">
        <f t="shared" si="1199"/>
        <v>123</v>
      </c>
      <c r="N3061">
        <f t="shared" si="1200"/>
        <v>47</v>
      </c>
    </row>
    <row r="3062" spans="1:14" x14ac:dyDescent="0.25">
      <c r="A3062">
        <v>180</v>
      </c>
      <c r="B3062" s="1">
        <v>44086</v>
      </c>
      <c r="C3062" t="str">
        <f t="shared" si="1201"/>
        <v>septiembre</v>
      </c>
      <c r="D3062" t="s">
        <v>55</v>
      </c>
      <c r="F3062" t="s">
        <v>22</v>
      </c>
      <c r="G3062">
        <v>4</v>
      </c>
      <c r="H3062">
        <v>300</v>
      </c>
      <c r="I3062">
        <f t="shared" si="1198"/>
        <v>1200</v>
      </c>
      <c r="J3062" t="s">
        <v>167</v>
      </c>
      <c r="K3062">
        <v>268</v>
      </c>
      <c r="M3062">
        <f t="shared" si="1199"/>
        <v>1072</v>
      </c>
      <c r="N3062">
        <f t="shared" si="1200"/>
        <v>128</v>
      </c>
    </row>
    <row r="3063" spans="1:14" x14ac:dyDescent="0.25">
      <c r="A3063">
        <v>181</v>
      </c>
      <c r="B3063" s="1">
        <v>44086</v>
      </c>
      <c r="C3063" t="str">
        <f t="shared" si="1201"/>
        <v>septiembre</v>
      </c>
      <c r="D3063" t="s">
        <v>15</v>
      </c>
      <c r="F3063" t="s">
        <v>346</v>
      </c>
      <c r="G3063">
        <f>3/10</f>
        <v>0.3</v>
      </c>
      <c r="H3063">
        <v>250</v>
      </c>
      <c r="I3063">
        <f>+G3063*H3063</f>
        <v>75</v>
      </c>
      <c r="J3063" t="s">
        <v>167</v>
      </c>
      <c r="K3063">
        <v>219</v>
      </c>
      <c r="M3063">
        <f t="shared" si="1199"/>
        <v>65.7</v>
      </c>
      <c r="N3063">
        <f t="shared" si="1200"/>
        <v>9.2999999999999972</v>
      </c>
    </row>
    <row r="3064" spans="1:14" x14ac:dyDescent="0.25">
      <c r="A3064">
        <v>182</v>
      </c>
      <c r="B3064" s="1">
        <v>44088</v>
      </c>
      <c r="C3064" t="str">
        <f t="shared" si="1201"/>
        <v>septiembre</v>
      </c>
      <c r="D3064" t="s">
        <v>23</v>
      </c>
      <c r="F3064" t="s">
        <v>456</v>
      </c>
      <c r="G3064">
        <v>6</v>
      </c>
      <c r="H3064">
        <v>250</v>
      </c>
      <c r="I3064">
        <f t="shared" ref="I3064:I3104" si="1202">+G3064*H3064</f>
        <v>1500</v>
      </c>
      <c r="J3064" t="s">
        <v>163</v>
      </c>
      <c r="M3064" t="str">
        <f t="shared" si="1199"/>
        <v/>
      </c>
      <c r="N3064" t="str">
        <f t="shared" si="1200"/>
        <v/>
      </c>
    </row>
    <row r="3065" spans="1:14" x14ac:dyDescent="0.25">
      <c r="A3065">
        <v>183</v>
      </c>
      <c r="B3065" s="1">
        <v>44088</v>
      </c>
      <c r="C3065" t="str">
        <f t="shared" si="1201"/>
        <v>septiembre</v>
      </c>
      <c r="D3065" t="s">
        <v>26</v>
      </c>
      <c r="F3065" t="s">
        <v>47</v>
      </c>
      <c r="G3065">
        <v>20</v>
      </c>
      <c r="H3065">
        <v>350</v>
      </c>
      <c r="I3065">
        <f t="shared" si="1202"/>
        <v>7000</v>
      </c>
      <c r="J3065" t="s">
        <v>99</v>
      </c>
      <c r="K3065">
        <v>260</v>
      </c>
      <c r="M3065">
        <f t="shared" si="1199"/>
        <v>5200</v>
      </c>
      <c r="N3065">
        <f t="shared" si="1200"/>
        <v>1800</v>
      </c>
    </row>
    <row r="3066" spans="1:14" x14ac:dyDescent="0.25">
      <c r="A3066">
        <v>184</v>
      </c>
      <c r="B3066" s="1">
        <v>44088</v>
      </c>
      <c r="C3066" t="str">
        <f t="shared" si="1201"/>
        <v>septiembre</v>
      </c>
      <c r="D3066" t="s">
        <v>26</v>
      </c>
      <c r="F3066" t="s">
        <v>47</v>
      </c>
      <c r="G3066">
        <v>2</v>
      </c>
      <c r="H3066">
        <v>350</v>
      </c>
      <c r="I3066">
        <f t="shared" si="1202"/>
        <v>700</v>
      </c>
      <c r="J3066" t="s">
        <v>99</v>
      </c>
      <c r="K3066">
        <v>260</v>
      </c>
      <c r="M3066">
        <f t="shared" si="1199"/>
        <v>520</v>
      </c>
      <c r="N3066">
        <f t="shared" si="1200"/>
        <v>180</v>
      </c>
    </row>
    <row r="3067" spans="1:14" x14ac:dyDescent="0.25">
      <c r="A3067">
        <v>185</v>
      </c>
      <c r="B3067" s="1">
        <v>44088</v>
      </c>
      <c r="C3067" t="str">
        <f t="shared" si="1201"/>
        <v>septiembre</v>
      </c>
      <c r="D3067" t="s">
        <v>26</v>
      </c>
      <c r="F3067" t="s">
        <v>47</v>
      </c>
      <c r="G3067">
        <f>3/4*1.44</f>
        <v>1.08</v>
      </c>
      <c r="H3067">
        <v>350</v>
      </c>
      <c r="I3067">
        <f t="shared" si="1202"/>
        <v>378</v>
      </c>
      <c r="J3067" t="s">
        <v>99</v>
      </c>
      <c r="K3067">
        <v>260</v>
      </c>
      <c r="M3067">
        <f t="shared" si="1199"/>
        <v>280.8</v>
      </c>
      <c r="N3067">
        <f t="shared" si="1200"/>
        <v>97.199999999999989</v>
      </c>
    </row>
    <row r="3068" spans="1:14" x14ac:dyDescent="0.25">
      <c r="A3068">
        <v>186</v>
      </c>
      <c r="B3068" s="1">
        <v>44088</v>
      </c>
      <c r="C3068" t="str">
        <f t="shared" si="1201"/>
        <v>septiembre</v>
      </c>
      <c r="D3068" t="s">
        <v>56</v>
      </c>
      <c r="F3068" t="s">
        <v>267</v>
      </c>
      <c r="G3068">
        <v>5</v>
      </c>
      <c r="H3068">
        <v>170</v>
      </c>
      <c r="I3068">
        <f t="shared" si="1202"/>
        <v>850</v>
      </c>
      <c r="J3068" t="s">
        <v>163</v>
      </c>
      <c r="K3068">
        <v>123</v>
      </c>
      <c r="M3068">
        <f t="shared" si="1199"/>
        <v>615</v>
      </c>
      <c r="N3068">
        <f t="shared" si="1200"/>
        <v>235</v>
      </c>
    </row>
    <row r="3069" spans="1:14" x14ac:dyDescent="0.25">
      <c r="A3069">
        <v>187</v>
      </c>
      <c r="B3069" s="1">
        <v>44088</v>
      </c>
      <c r="C3069" t="str">
        <f t="shared" si="1201"/>
        <v>septiembre</v>
      </c>
      <c r="D3069" t="s">
        <v>78</v>
      </c>
      <c r="F3069" t="s">
        <v>480</v>
      </c>
      <c r="G3069">
        <v>1</v>
      </c>
      <c r="H3069">
        <v>650</v>
      </c>
      <c r="I3069">
        <f t="shared" si="1202"/>
        <v>650</v>
      </c>
      <c r="J3069" t="s">
        <v>166</v>
      </c>
      <c r="K3069">
        <v>434</v>
      </c>
      <c r="M3069">
        <f t="shared" si="1199"/>
        <v>434</v>
      </c>
      <c r="N3069">
        <f t="shared" si="1200"/>
        <v>216</v>
      </c>
    </row>
    <row r="3070" spans="1:14" x14ac:dyDescent="0.25">
      <c r="A3070">
        <v>188</v>
      </c>
      <c r="B3070" s="1">
        <v>44088</v>
      </c>
      <c r="C3070" t="str">
        <f t="shared" si="1201"/>
        <v>septiembre</v>
      </c>
      <c r="D3070" t="s">
        <v>26</v>
      </c>
      <c r="F3070" t="s">
        <v>47</v>
      </c>
      <c r="G3070">
        <v>5</v>
      </c>
      <c r="H3070">
        <v>350</v>
      </c>
      <c r="I3070">
        <f t="shared" si="1202"/>
        <v>1750</v>
      </c>
      <c r="J3070" t="s">
        <v>99</v>
      </c>
      <c r="K3070">
        <v>260</v>
      </c>
      <c r="M3070">
        <f t="shared" si="1199"/>
        <v>1300</v>
      </c>
      <c r="N3070">
        <f t="shared" si="1200"/>
        <v>450</v>
      </c>
    </row>
    <row r="3071" spans="1:14" x14ac:dyDescent="0.25">
      <c r="A3071">
        <v>189</v>
      </c>
      <c r="B3071" s="1">
        <v>44088</v>
      </c>
      <c r="C3071" t="str">
        <f t="shared" si="1201"/>
        <v>septiembre</v>
      </c>
      <c r="D3071" t="s">
        <v>15</v>
      </c>
      <c r="F3071" t="s">
        <v>401</v>
      </c>
      <c r="G3071">
        <v>9</v>
      </c>
      <c r="H3071">
        <v>300</v>
      </c>
      <c r="I3071">
        <f t="shared" si="1202"/>
        <v>2700</v>
      </c>
      <c r="J3071" t="s">
        <v>167</v>
      </c>
      <c r="K3071">
        <v>268</v>
      </c>
      <c r="M3071">
        <f t="shared" si="1199"/>
        <v>2412</v>
      </c>
      <c r="N3071">
        <f t="shared" si="1200"/>
        <v>288</v>
      </c>
    </row>
    <row r="3072" spans="1:14" x14ac:dyDescent="0.25">
      <c r="A3072">
        <v>190</v>
      </c>
      <c r="B3072" s="1">
        <v>44088</v>
      </c>
      <c r="C3072" t="str">
        <f t="shared" si="1201"/>
        <v>septiembre</v>
      </c>
      <c r="D3072" t="s">
        <v>56</v>
      </c>
      <c r="F3072" t="s">
        <v>267</v>
      </c>
      <c r="G3072">
        <v>2</v>
      </c>
      <c r="H3072">
        <v>170</v>
      </c>
      <c r="I3072">
        <f t="shared" si="1202"/>
        <v>340</v>
      </c>
      <c r="J3072" t="s">
        <v>163</v>
      </c>
      <c r="K3072">
        <v>123</v>
      </c>
      <c r="M3072">
        <f t="shared" si="1199"/>
        <v>246</v>
      </c>
      <c r="N3072">
        <f t="shared" si="1200"/>
        <v>94</v>
      </c>
    </row>
    <row r="3073" spans="1:14" x14ac:dyDescent="0.25">
      <c r="A3073">
        <v>191</v>
      </c>
      <c r="B3073" s="1">
        <v>44088</v>
      </c>
      <c r="C3073" t="str">
        <f t="shared" si="1201"/>
        <v>septiembre</v>
      </c>
      <c r="D3073" t="s">
        <v>25</v>
      </c>
      <c r="F3073" t="s">
        <v>145</v>
      </c>
      <c r="G3073">
        <v>1</v>
      </c>
      <c r="H3073">
        <v>100</v>
      </c>
      <c r="I3073">
        <f t="shared" si="1202"/>
        <v>100</v>
      </c>
      <c r="J3073" t="s">
        <v>163</v>
      </c>
      <c r="K3073">
        <v>71</v>
      </c>
      <c r="M3073">
        <f t="shared" si="1199"/>
        <v>71</v>
      </c>
      <c r="N3073">
        <f t="shared" si="1200"/>
        <v>29</v>
      </c>
    </row>
    <row r="3074" spans="1:14" x14ac:dyDescent="0.25">
      <c r="A3074">
        <v>192</v>
      </c>
      <c r="B3074" s="1">
        <v>44088</v>
      </c>
      <c r="C3074" t="str">
        <f t="shared" si="1201"/>
        <v>septiembre</v>
      </c>
      <c r="D3074" t="s">
        <v>56</v>
      </c>
      <c r="F3074" t="s">
        <v>267</v>
      </c>
      <c r="G3074">
        <v>5</v>
      </c>
      <c r="H3074">
        <v>170</v>
      </c>
      <c r="I3074">
        <f t="shared" si="1202"/>
        <v>850</v>
      </c>
      <c r="J3074" t="s">
        <v>163</v>
      </c>
      <c r="K3074">
        <v>123</v>
      </c>
      <c r="M3074">
        <f t="shared" si="1199"/>
        <v>615</v>
      </c>
      <c r="N3074">
        <f t="shared" si="1200"/>
        <v>235</v>
      </c>
    </row>
    <row r="3075" spans="1:14" x14ac:dyDescent="0.25">
      <c r="A3075">
        <v>193</v>
      </c>
      <c r="B3075" s="1">
        <v>44088</v>
      </c>
      <c r="C3075" t="str">
        <f t="shared" si="1201"/>
        <v>septiembre</v>
      </c>
      <c r="D3075" t="s">
        <v>25</v>
      </c>
      <c r="F3075" t="s">
        <v>128</v>
      </c>
      <c r="G3075">
        <v>5</v>
      </c>
      <c r="H3075">
        <v>60</v>
      </c>
      <c r="I3075">
        <f t="shared" si="1202"/>
        <v>300</v>
      </c>
      <c r="J3075" t="s">
        <v>165</v>
      </c>
      <c r="K3075">
        <v>34</v>
      </c>
      <c r="M3075">
        <f t="shared" si="1199"/>
        <v>170</v>
      </c>
      <c r="N3075">
        <f t="shared" si="1200"/>
        <v>130</v>
      </c>
    </row>
    <row r="3076" spans="1:14" x14ac:dyDescent="0.25">
      <c r="A3076">
        <v>194</v>
      </c>
      <c r="B3076" s="1">
        <v>44088</v>
      </c>
      <c r="C3076" t="str">
        <f t="shared" si="1201"/>
        <v>septiembre</v>
      </c>
      <c r="D3076" t="s">
        <v>55</v>
      </c>
      <c r="F3076" t="s">
        <v>22</v>
      </c>
      <c r="G3076">
        <v>1</v>
      </c>
      <c r="H3076">
        <v>300</v>
      </c>
      <c r="I3076">
        <f t="shared" si="1202"/>
        <v>300</v>
      </c>
      <c r="J3076" t="s">
        <v>167</v>
      </c>
      <c r="K3076">
        <v>268</v>
      </c>
      <c r="M3076">
        <f t="shared" ref="M3076:M3080" si="1203">+IF(K3076=0,(""),(K3076*G3076))</f>
        <v>268</v>
      </c>
      <c r="N3076">
        <f t="shared" ref="N3076:N3080" si="1204">+IF(K3076=0,(""),(I3076-M3076))</f>
        <v>32</v>
      </c>
    </row>
    <row r="3077" spans="1:14" x14ac:dyDescent="0.25">
      <c r="A3077">
        <v>195</v>
      </c>
      <c r="B3077" s="1">
        <v>44088</v>
      </c>
      <c r="C3077" t="str">
        <f t="shared" si="1201"/>
        <v>septiembre</v>
      </c>
      <c r="D3077" t="s">
        <v>25</v>
      </c>
      <c r="F3077" t="s">
        <v>128</v>
      </c>
      <c r="G3077">
        <v>1</v>
      </c>
      <c r="H3077">
        <v>60</v>
      </c>
      <c r="I3077">
        <f t="shared" si="1202"/>
        <v>60</v>
      </c>
      <c r="J3077" t="s">
        <v>165</v>
      </c>
      <c r="K3077">
        <v>34</v>
      </c>
      <c r="M3077">
        <f t="shared" si="1203"/>
        <v>34</v>
      </c>
      <c r="N3077">
        <f t="shared" si="1204"/>
        <v>26</v>
      </c>
    </row>
    <row r="3078" spans="1:14" x14ac:dyDescent="0.25">
      <c r="A3078">
        <v>196</v>
      </c>
      <c r="B3078" s="1">
        <v>44088</v>
      </c>
      <c r="C3078" t="str">
        <f t="shared" si="1201"/>
        <v>septiembre</v>
      </c>
      <c r="D3078" t="s">
        <v>15</v>
      </c>
      <c r="F3078" t="s">
        <v>20</v>
      </c>
      <c r="G3078">
        <v>5.5</v>
      </c>
      <c r="H3078">
        <v>270</v>
      </c>
      <c r="I3078">
        <f t="shared" si="1202"/>
        <v>1485</v>
      </c>
      <c r="J3078" t="s">
        <v>163</v>
      </c>
      <c r="K3078">
        <v>232</v>
      </c>
      <c r="M3078">
        <f t="shared" si="1203"/>
        <v>1276</v>
      </c>
      <c r="N3078">
        <f t="shared" si="1204"/>
        <v>209</v>
      </c>
    </row>
    <row r="3079" spans="1:14" x14ac:dyDescent="0.25">
      <c r="A3079">
        <v>197</v>
      </c>
      <c r="B3079" s="1">
        <v>44088</v>
      </c>
      <c r="C3079" t="str">
        <f t="shared" si="1201"/>
        <v>septiembre</v>
      </c>
      <c r="D3079" t="s">
        <v>56</v>
      </c>
      <c r="F3079" t="s">
        <v>267</v>
      </c>
      <c r="G3079">
        <v>2</v>
      </c>
      <c r="H3079">
        <v>170</v>
      </c>
      <c r="I3079">
        <f t="shared" si="1202"/>
        <v>340</v>
      </c>
      <c r="J3079" t="s">
        <v>163</v>
      </c>
      <c r="K3079">
        <v>123</v>
      </c>
      <c r="M3079">
        <f t="shared" si="1203"/>
        <v>246</v>
      </c>
      <c r="N3079">
        <f t="shared" si="1204"/>
        <v>94</v>
      </c>
    </row>
    <row r="3080" spans="1:14" x14ac:dyDescent="0.25">
      <c r="A3080">
        <v>198</v>
      </c>
      <c r="B3080" s="1">
        <v>44088</v>
      </c>
      <c r="C3080" t="str">
        <f t="shared" si="1201"/>
        <v>septiembre</v>
      </c>
      <c r="D3080" t="s">
        <v>25</v>
      </c>
      <c r="F3080" t="s">
        <v>57</v>
      </c>
      <c r="G3080">
        <v>1</v>
      </c>
      <c r="H3080">
        <v>60</v>
      </c>
      <c r="I3080">
        <f t="shared" si="1202"/>
        <v>60</v>
      </c>
      <c r="J3080" t="s">
        <v>165</v>
      </c>
      <c r="K3080">
        <v>34</v>
      </c>
      <c r="M3080">
        <f t="shared" si="1203"/>
        <v>34</v>
      </c>
      <c r="N3080">
        <f t="shared" si="1204"/>
        <v>26</v>
      </c>
    </row>
    <row r="3081" spans="1:14" x14ac:dyDescent="0.25">
      <c r="A3081">
        <v>199</v>
      </c>
      <c r="B3081" s="1">
        <v>44090</v>
      </c>
      <c r="C3081" t="str">
        <f t="shared" si="1201"/>
        <v>septiembre</v>
      </c>
      <c r="D3081" t="s">
        <v>55</v>
      </c>
      <c r="F3081" t="s">
        <v>416</v>
      </c>
      <c r="G3081">
        <v>7</v>
      </c>
      <c r="H3081">
        <v>270</v>
      </c>
      <c r="I3081">
        <f t="shared" si="1202"/>
        <v>1890</v>
      </c>
      <c r="J3081" t="s">
        <v>167</v>
      </c>
      <c r="K3081">
        <v>207</v>
      </c>
      <c r="M3081">
        <f t="shared" ref="M3081:M3144" si="1205">+IF(K3081=0,(""),(K3081*G3081))</f>
        <v>1449</v>
      </c>
      <c r="N3081">
        <f t="shared" ref="N3081:N3144" si="1206">+IF(K3081=0,(""),(I3081-M3081))</f>
        <v>441</v>
      </c>
    </row>
    <row r="3082" spans="1:14" x14ac:dyDescent="0.25">
      <c r="A3082">
        <v>200</v>
      </c>
      <c r="B3082" s="1">
        <v>44090</v>
      </c>
      <c r="C3082" t="str">
        <f t="shared" si="1201"/>
        <v>septiembre</v>
      </c>
      <c r="D3082" t="s">
        <v>70</v>
      </c>
      <c r="F3082" t="s">
        <v>227</v>
      </c>
      <c r="G3082">
        <v>1</v>
      </c>
      <c r="H3082">
        <v>1650</v>
      </c>
      <c r="I3082">
        <f t="shared" si="1202"/>
        <v>1650</v>
      </c>
      <c r="J3082" t="s">
        <v>167</v>
      </c>
      <c r="K3082">
        <v>1440</v>
      </c>
      <c r="M3082">
        <f t="shared" si="1205"/>
        <v>1440</v>
      </c>
      <c r="N3082">
        <f t="shared" si="1206"/>
        <v>210</v>
      </c>
    </row>
    <row r="3083" spans="1:14" x14ac:dyDescent="0.25">
      <c r="A3083">
        <v>201</v>
      </c>
      <c r="B3083" s="1">
        <v>44090</v>
      </c>
      <c r="C3083" t="str">
        <f t="shared" si="1201"/>
        <v>septiembre</v>
      </c>
      <c r="D3083" t="s">
        <v>85</v>
      </c>
      <c r="F3083" t="s">
        <v>216</v>
      </c>
      <c r="G3083">
        <v>1</v>
      </c>
      <c r="H3083">
        <v>900</v>
      </c>
      <c r="I3083">
        <f t="shared" si="1202"/>
        <v>900</v>
      </c>
      <c r="J3083" t="s">
        <v>167</v>
      </c>
      <c r="K3083">
        <v>480</v>
      </c>
      <c r="M3083">
        <f t="shared" si="1205"/>
        <v>480</v>
      </c>
      <c r="N3083">
        <f t="shared" si="1206"/>
        <v>420</v>
      </c>
    </row>
    <row r="3084" spans="1:14" x14ac:dyDescent="0.25">
      <c r="A3084">
        <v>202</v>
      </c>
      <c r="B3084" s="1">
        <v>44090</v>
      </c>
      <c r="C3084" t="str">
        <f t="shared" si="1201"/>
        <v>septiembre</v>
      </c>
      <c r="D3084" t="s">
        <v>85</v>
      </c>
      <c r="F3084" t="s">
        <v>266</v>
      </c>
      <c r="G3084">
        <v>1</v>
      </c>
      <c r="H3084">
        <v>250</v>
      </c>
      <c r="I3084">
        <f t="shared" si="1202"/>
        <v>250</v>
      </c>
      <c r="J3084" t="s">
        <v>166</v>
      </c>
      <c r="K3084">
        <v>170</v>
      </c>
      <c r="M3084">
        <f t="shared" si="1205"/>
        <v>170</v>
      </c>
      <c r="N3084">
        <f t="shared" si="1206"/>
        <v>80</v>
      </c>
    </row>
    <row r="3085" spans="1:14" x14ac:dyDescent="0.25">
      <c r="A3085">
        <v>203</v>
      </c>
      <c r="B3085" s="1">
        <v>44090</v>
      </c>
      <c r="C3085" t="str">
        <f t="shared" si="1201"/>
        <v>septiembre</v>
      </c>
      <c r="D3085" t="s">
        <v>55</v>
      </c>
      <c r="F3085" t="s">
        <v>433</v>
      </c>
      <c r="G3085">
        <v>3</v>
      </c>
      <c r="H3085">
        <v>270</v>
      </c>
      <c r="I3085">
        <f t="shared" si="1202"/>
        <v>810</v>
      </c>
      <c r="J3085" t="s">
        <v>167</v>
      </c>
      <c r="K3085">
        <v>207</v>
      </c>
      <c r="M3085">
        <f t="shared" si="1205"/>
        <v>621</v>
      </c>
      <c r="N3085">
        <f t="shared" si="1206"/>
        <v>189</v>
      </c>
    </row>
    <row r="3086" spans="1:14" x14ac:dyDescent="0.25">
      <c r="A3086">
        <v>204</v>
      </c>
      <c r="B3086" s="1">
        <v>44090</v>
      </c>
      <c r="C3086" t="str">
        <f t="shared" si="1201"/>
        <v>septiembre</v>
      </c>
      <c r="D3086" t="s">
        <v>15</v>
      </c>
      <c r="F3086" t="s">
        <v>483</v>
      </c>
      <c r="G3086">
        <f>40/11*2.32</f>
        <v>8.4363636363636356</v>
      </c>
      <c r="H3086">
        <v>250</v>
      </c>
      <c r="I3086">
        <f t="shared" si="1202"/>
        <v>2109.090909090909</v>
      </c>
      <c r="J3086" t="s">
        <v>163</v>
      </c>
      <c r="K3086">
        <v>220</v>
      </c>
      <c r="M3086">
        <f t="shared" si="1205"/>
        <v>1855.9999999999998</v>
      </c>
      <c r="N3086">
        <f t="shared" si="1206"/>
        <v>253.09090909090924</v>
      </c>
    </row>
    <row r="3087" spans="1:14" x14ac:dyDescent="0.25">
      <c r="A3087">
        <v>205</v>
      </c>
      <c r="B3087" s="1">
        <v>44090</v>
      </c>
      <c r="C3087" t="str">
        <f t="shared" si="1201"/>
        <v>septiembre</v>
      </c>
      <c r="D3087" t="s">
        <v>56</v>
      </c>
      <c r="F3087" t="s">
        <v>267</v>
      </c>
      <c r="G3087">
        <v>2</v>
      </c>
      <c r="H3087">
        <v>170</v>
      </c>
      <c r="I3087">
        <f t="shared" si="1202"/>
        <v>340</v>
      </c>
      <c r="J3087" t="s">
        <v>163</v>
      </c>
      <c r="K3087">
        <v>123</v>
      </c>
      <c r="M3087">
        <f t="shared" si="1205"/>
        <v>246</v>
      </c>
      <c r="N3087">
        <f t="shared" si="1206"/>
        <v>94</v>
      </c>
    </row>
    <row r="3088" spans="1:14" x14ac:dyDescent="0.25">
      <c r="A3088">
        <v>206</v>
      </c>
      <c r="B3088" s="1">
        <v>44090</v>
      </c>
      <c r="C3088" t="str">
        <f t="shared" si="1201"/>
        <v>septiembre</v>
      </c>
      <c r="D3088" t="s">
        <v>25</v>
      </c>
      <c r="F3088" t="s">
        <v>148</v>
      </c>
      <c r="G3088">
        <v>1</v>
      </c>
      <c r="H3088">
        <v>60</v>
      </c>
      <c r="I3088">
        <f t="shared" si="1202"/>
        <v>60</v>
      </c>
      <c r="J3088" t="s">
        <v>165</v>
      </c>
      <c r="K3088">
        <v>34</v>
      </c>
      <c r="M3088">
        <f t="shared" si="1205"/>
        <v>34</v>
      </c>
      <c r="N3088">
        <f t="shared" si="1206"/>
        <v>26</v>
      </c>
    </row>
    <row r="3089" spans="1:14" x14ac:dyDescent="0.25">
      <c r="A3089">
        <v>207</v>
      </c>
      <c r="B3089" s="1">
        <v>44090</v>
      </c>
      <c r="C3089" t="str">
        <f t="shared" si="1201"/>
        <v>septiembre</v>
      </c>
      <c r="D3089" t="s">
        <v>15</v>
      </c>
      <c r="F3089" t="s">
        <v>401</v>
      </c>
      <c r="G3089">
        <f>11/9</f>
        <v>1.2222222222222223</v>
      </c>
      <c r="H3089">
        <v>300</v>
      </c>
      <c r="I3089">
        <f t="shared" si="1202"/>
        <v>366.66666666666669</v>
      </c>
      <c r="J3089" t="s">
        <v>167</v>
      </c>
      <c r="K3089">
        <v>268</v>
      </c>
      <c r="M3089">
        <f t="shared" si="1205"/>
        <v>327.5555555555556</v>
      </c>
      <c r="N3089">
        <f t="shared" si="1206"/>
        <v>39.111111111111086</v>
      </c>
    </row>
    <row r="3090" spans="1:14" x14ac:dyDescent="0.25">
      <c r="A3090">
        <v>208</v>
      </c>
      <c r="B3090" s="1">
        <v>44090</v>
      </c>
      <c r="C3090" t="str">
        <f t="shared" si="1201"/>
        <v>septiembre</v>
      </c>
      <c r="D3090" t="s">
        <v>92</v>
      </c>
      <c r="F3090" t="s">
        <v>293</v>
      </c>
      <c r="G3090">
        <v>1</v>
      </c>
      <c r="H3090">
        <v>350</v>
      </c>
      <c r="I3090">
        <f t="shared" si="1202"/>
        <v>350</v>
      </c>
      <c r="J3090" t="s">
        <v>166</v>
      </c>
      <c r="K3090">
        <v>225</v>
      </c>
      <c r="M3090">
        <f t="shared" si="1205"/>
        <v>225</v>
      </c>
      <c r="N3090">
        <f t="shared" si="1206"/>
        <v>125</v>
      </c>
    </row>
    <row r="3091" spans="1:14" x14ac:dyDescent="0.25">
      <c r="A3091">
        <v>209</v>
      </c>
      <c r="B3091" s="1">
        <v>44090</v>
      </c>
      <c r="C3091" t="str">
        <f t="shared" si="1201"/>
        <v>septiembre</v>
      </c>
      <c r="D3091" t="s">
        <v>15</v>
      </c>
      <c r="F3091" t="s">
        <v>29</v>
      </c>
      <c r="G3091">
        <f>3+5/9</f>
        <v>3.5555555555555554</v>
      </c>
      <c r="H3091">
        <v>240</v>
      </c>
      <c r="I3091">
        <f t="shared" si="1202"/>
        <v>853.33333333333326</v>
      </c>
      <c r="J3091" t="s">
        <v>163</v>
      </c>
      <c r="K3091">
        <v>211</v>
      </c>
      <c r="M3091">
        <f t="shared" si="1205"/>
        <v>750.22222222222217</v>
      </c>
      <c r="N3091">
        <f t="shared" si="1206"/>
        <v>103.11111111111109</v>
      </c>
    </row>
    <row r="3092" spans="1:14" x14ac:dyDescent="0.25">
      <c r="A3092">
        <v>210</v>
      </c>
      <c r="B3092" s="1">
        <v>44090</v>
      </c>
      <c r="C3092" t="str">
        <f t="shared" si="1201"/>
        <v>septiembre</v>
      </c>
      <c r="D3092" t="s">
        <v>56</v>
      </c>
      <c r="F3092" t="s">
        <v>236</v>
      </c>
      <c r="G3092">
        <v>1</v>
      </c>
      <c r="H3092">
        <v>120</v>
      </c>
      <c r="I3092">
        <f t="shared" si="1202"/>
        <v>120</v>
      </c>
      <c r="J3092" t="s">
        <v>165</v>
      </c>
      <c r="K3092">
        <v>80</v>
      </c>
      <c r="M3092">
        <f t="shared" si="1205"/>
        <v>80</v>
      </c>
      <c r="N3092">
        <f t="shared" si="1206"/>
        <v>40</v>
      </c>
    </row>
    <row r="3093" spans="1:14" x14ac:dyDescent="0.25">
      <c r="A3093">
        <v>211</v>
      </c>
      <c r="B3093" s="1">
        <v>44090</v>
      </c>
      <c r="C3093" t="str">
        <f t="shared" si="1201"/>
        <v>septiembre</v>
      </c>
      <c r="D3093" t="s">
        <v>56</v>
      </c>
      <c r="F3093" t="s">
        <v>267</v>
      </c>
      <c r="G3093">
        <v>2</v>
      </c>
      <c r="H3093">
        <v>170</v>
      </c>
      <c r="I3093">
        <f t="shared" si="1202"/>
        <v>340</v>
      </c>
      <c r="J3093" t="s">
        <v>163</v>
      </c>
      <c r="K3093">
        <v>123</v>
      </c>
      <c r="M3093">
        <f t="shared" si="1205"/>
        <v>246</v>
      </c>
      <c r="N3093">
        <f t="shared" si="1206"/>
        <v>94</v>
      </c>
    </row>
    <row r="3094" spans="1:14" x14ac:dyDescent="0.25">
      <c r="A3094">
        <v>212</v>
      </c>
      <c r="B3094" s="1">
        <v>44090</v>
      </c>
      <c r="C3094" t="str">
        <f t="shared" si="1201"/>
        <v>septiembre</v>
      </c>
      <c r="D3094" t="s">
        <v>25</v>
      </c>
      <c r="F3094" t="s">
        <v>127</v>
      </c>
      <c r="G3094">
        <v>1</v>
      </c>
      <c r="H3094">
        <v>60</v>
      </c>
      <c r="I3094">
        <f t="shared" si="1202"/>
        <v>60</v>
      </c>
      <c r="J3094" t="s">
        <v>165</v>
      </c>
      <c r="K3094">
        <v>34</v>
      </c>
      <c r="M3094">
        <f t="shared" si="1205"/>
        <v>34</v>
      </c>
      <c r="N3094">
        <f t="shared" si="1206"/>
        <v>26</v>
      </c>
    </row>
    <row r="3095" spans="1:14" x14ac:dyDescent="0.25">
      <c r="A3095">
        <v>213</v>
      </c>
      <c r="B3095" s="1">
        <v>44090</v>
      </c>
      <c r="C3095" t="str">
        <f t="shared" si="1201"/>
        <v>septiembre</v>
      </c>
      <c r="D3095" t="s">
        <v>23</v>
      </c>
      <c r="F3095" t="s">
        <v>344</v>
      </c>
      <c r="G3095">
        <v>1</v>
      </c>
      <c r="H3095">
        <v>80</v>
      </c>
      <c r="I3095">
        <f t="shared" si="1202"/>
        <v>80</v>
      </c>
      <c r="J3095" t="s">
        <v>23</v>
      </c>
      <c r="K3095">
        <v>0</v>
      </c>
      <c r="M3095" t="str">
        <f t="shared" si="1205"/>
        <v/>
      </c>
      <c r="N3095" t="str">
        <f t="shared" si="1206"/>
        <v/>
      </c>
    </row>
    <row r="3096" spans="1:14" x14ac:dyDescent="0.25">
      <c r="A3096">
        <v>214</v>
      </c>
      <c r="B3096" s="1">
        <v>44090</v>
      </c>
      <c r="C3096" t="str">
        <f t="shared" si="1201"/>
        <v>septiembre</v>
      </c>
      <c r="D3096" t="s">
        <v>55</v>
      </c>
      <c r="F3096" t="s">
        <v>479</v>
      </c>
      <c r="G3096">
        <f>4/12</f>
        <v>0.33333333333333331</v>
      </c>
      <c r="H3096">
        <v>300</v>
      </c>
      <c r="I3096">
        <f t="shared" si="1202"/>
        <v>100</v>
      </c>
      <c r="J3096" t="s">
        <v>167</v>
      </c>
      <c r="K3096">
        <v>268</v>
      </c>
      <c r="M3096">
        <f t="shared" si="1205"/>
        <v>89.333333333333329</v>
      </c>
      <c r="N3096">
        <f t="shared" si="1206"/>
        <v>10.666666666666671</v>
      </c>
    </row>
    <row r="3097" spans="1:14" x14ac:dyDescent="0.25">
      <c r="A3097">
        <v>215</v>
      </c>
      <c r="B3097" s="1">
        <v>44090</v>
      </c>
      <c r="C3097" t="str">
        <f t="shared" si="1201"/>
        <v>septiembre</v>
      </c>
      <c r="D3097" t="s">
        <v>15</v>
      </c>
      <c r="F3097" t="s">
        <v>346</v>
      </c>
      <c r="G3097">
        <v>2</v>
      </c>
      <c r="H3097">
        <v>250</v>
      </c>
      <c r="I3097">
        <f t="shared" si="1202"/>
        <v>500</v>
      </c>
      <c r="J3097" t="s">
        <v>167</v>
      </c>
      <c r="K3097">
        <v>219</v>
      </c>
      <c r="M3097">
        <f t="shared" si="1205"/>
        <v>438</v>
      </c>
      <c r="N3097">
        <f t="shared" si="1206"/>
        <v>62</v>
      </c>
    </row>
    <row r="3098" spans="1:14" x14ac:dyDescent="0.25">
      <c r="A3098">
        <v>216</v>
      </c>
      <c r="B3098" s="1">
        <v>44090</v>
      </c>
      <c r="C3098" t="str">
        <f t="shared" si="1201"/>
        <v>septiembre</v>
      </c>
      <c r="D3098" t="s">
        <v>55</v>
      </c>
      <c r="F3098" t="s">
        <v>149</v>
      </c>
      <c r="G3098">
        <v>4.5</v>
      </c>
      <c r="H3098">
        <v>300</v>
      </c>
      <c r="I3098">
        <f t="shared" si="1202"/>
        <v>1350</v>
      </c>
      <c r="J3098" t="s">
        <v>167</v>
      </c>
      <c r="K3098">
        <v>268</v>
      </c>
      <c r="M3098">
        <f t="shared" si="1205"/>
        <v>1206</v>
      </c>
      <c r="N3098">
        <f t="shared" si="1206"/>
        <v>144</v>
      </c>
    </row>
    <row r="3099" spans="1:14" x14ac:dyDescent="0.25">
      <c r="A3099">
        <v>217</v>
      </c>
      <c r="B3099" s="1">
        <v>44090</v>
      </c>
      <c r="C3099" t="str">
        <f t="shared" si="1201"/>
        <v>septiembre</v>
      </c>
      <c r="D3099" t="s">
        <v>70</v>
      </c>
      <c r="F3099" t="s">
        <v>420</v>
      </c>
      <c r="G3099">
        <v>1</v>
      </c>
      <c r="H3099">
        <v>3100</v>
      </c>
      <c r="I3099">
        <f t="shared" si="1202"/>
        <v>3100</v>
      </c>
      <c r="J3099" t="s">
        <v>167</v>
      </c>
      <c r="K3099">
        <v>2800</v>
      </c>
      <c r="M3099">
        <f t="shared" si="1205"/>
        <v>2800</v>
      </c>
      <c r="N3099">
        <f t="shared" si="1206"/>
        <v>300</v>
      </c>
    </row>
    <row r="3100" spans="1:14" x14ac:dyDescent="0.25">
      <c r="A3100">
        <v>218</v>
      </c>
      <c r="B3100" s="1">
        <v>44090</v>
      </c>
      <c r="C3100" t="str">
        <f t="shared" si="1201"/>
        <v>septiembre</v>
      </c>
      <c r="D3100" t="s">
        <v>70</v>
      </c>
      <c r="F3100" t="s">
        <v>227</v>
      </c>
      <c r="G3100">
        <v>1</v>
      </c>
      <c r="H3100">
        <v>1650</v>
      </c>
      <c r="I3100">
        <f t="shared" si="1202"/>
        <v>1650</v>
      </c>
      <c r="J3100" t="s">
        <v>167</v>
      </c>
      <c r="K3100">
        <v>1440</v>
      </c>
      <c r="M3100">
        <f t="shared" si="1205"/>
        <v>1440</v>
      </c>
      <c r="N3100">
        <f t="shared" si="1206"/>
        <v>210</v>
      </c>
    </row>
    <row r="3101" spans="1:14" x14ac:dyDescent="0.25">
      <c r="A3101">
        <v>219</v>
      </c>
      <c r="B3101" s="1">
        <v>44090</v>
      </c>
      <c r="C3101" t="str">
        <f t="shared" si="1201"/>
        <v>septiembre</v>
      </c>
      <c r="D3101" t="s">
        <v>85</v>
      </c>
      <c r="F3101" t="s">
        <v>216</v>
      </c>
      <c r="G3101">
        <v>1</v>
      </c>
      <c r="H3101">
        <v>900</v>
      </c>
      <c r="I3101">
        <f t="shared" si="1202"/>
        <v>900</v>
      </c>
      <c r="J3101" t="s">
        <v>167</v>
      </c>
      <c r="K3101">
        <v>480</v>
      </c>
      <c r="M3101">
        <f t="shared" si="1205"/>
        <v>480</v>
      </c>
      <c r="N3101">
        <f t="shared" si="1206"/>
        <v>420</v>
      </c>
    </row>
    <row r="3102" spans="1:14" x14ac:dyDescent="0.25">
      <c r="A3102">
        <v>220</v>
      </c>
      <c r="B3102" s="1">
        <v>44090</v>
      </c>
      <c r="C3102" t="str">
        <f t="shared" ref="C3102:C3165" si="1207">+TEXT(B3102,"mmmm")</f>
        <v>septiembre</v>
      </c>
      <c r="D3102" t="s">
        <v>85</v>
      </c>
      <c r="F3102" t="s">
        <v>253</v>
      </c>
      <c r="G3102">
        <v>1</v>
      </c>
      <c r="H3102">
        <v>900</v>
      </c>
      <c r="I3102">
        <f t="shared" si="1202"/>
        <v>900</v>
      </c>
      <c r="J3102" t="s">
        <v>167</v>
      </c>
      <c r="K3102">
        <v>480</v>
      </c>
      <c r="M3102">
        <f t="shared" si="1205"/>
        <v>480</v>
      </c>
      <c r="N3102">
        <f t="shared" si="1206"/>
        <v>420</v>
      </c>
    </row>
    <row r="3103" spans="1:14" x14ac:dyDescent="0.25">
      <c r="A3103">
        <v>221</v>
      </c>
      <c r="B3103" s="1">
        <v>44090</v>
      </c>
      <c r="C3103" t="str">
        <f t="shared" si="1207"/>
        <v>septiembre</v>
      </c>
      <c r="D3103" t="s">
        <v>85</v>
      </c>
      <c r="F3103" t="s">
        <v>266</v>
      </c>
      <c r="G3103">
        <v>1</v>
      </c>
      <c r="H3103">
        <v>175</v>
      </c>
      <c r="I3103">
        <f t="shared" si="1202"/>
        <v>175</v>
      </c>
      <c r="J3103" t="s">
        <v>166</v>
      </c>
      <c r="K3103">
        <v>115</v>
      </c>
      <c r="M3103">
        <f t="shared" si="1205"/>
        <v>115</v>
      </c>
      <c r="N3103">
        <f t="shared" si="1206"/>
        <v>60</v>
      </c>
    </row>
    <row r="3104" spans="1:14" x14ac:dyDescent="0.25">
      <c r="A3104">
        <v>222</v>
      </c>
      <c r="B3104" s="1">
        <v>44090</v>
      </c>
      <c r="C3104" t="str">
        <f t="shared" si="1207"/>
        <v>septiembre</v>
      </c>
      <c r="D3104" t="s">
        <v>15</v>
      </c>
      <c r="F3104" t="s">
        <v>21</v>
      </c>
      <c r="G3104">
        <v>1.5</v>
      </c>
      <c r="H3104">
        <v>300</v>
      </c>
      <c r="I3104">
        <f t="shared" si="1202"/>
        <v>450</v>
      </c>
      <c r="J3104" t="s">
        <v>167</v>
      </c>
      <c r="K3104">
        <v>268</v>
      </c>
      <c r="M3104">
        <f t="shared" si="1205"/>
        <v>402</v>
      </c>
      <c r="N3104">
        <f t="shared" si="1206"/>
        <v>48</v>
      </c>
    </row>
    <row r="3105" spans="1:14" x14ac:dyDescent="0.25">
      <c r="A3105">
        <v>223</v>
      </c>
      <c r="B3105" s="1">
        <v>44090</v>
      </c>
      <c r="C3105" t="str">
        <f t="shared" si="1207"/>
        <v>septiembre</v>
      </c>
      <c r="D3105" t="s">
        <v>15</v>
      </c>
      <c r="F3105" t="s">
        <v>28</v>
      </c>
      <c r="G3105">
        <v>2.5</v>
      </c>
      <c r="H3105">
        <v>240</v>
      </c>
      <c r="I3105">
        <f>+G3105*H3105</f>
        <v>600</v>
      </c>
      <c r="J3105" t="s">
        <v>163</v>
      </c>
      <c r="K3105">
        <v>217</v>
      </c>
      <c r="M3105">
        <f t="shared" si="1205"/>
        <v>542.5</v>
      </c>
      <c r="N3105">
        <f t="shared" si="1206"/>
        <v>57.5</v>
      </c>
    </row>
    <row r="3106" spans="1:14" x14ac:dyDescent="0.25">
      <c r="A3106">
        <v>224</v>
      </c>
      <c r="B3106" s="1">
        <v>44090</v>
      </c>
      <c r="C3106" t="str">
        <f t="shared" si="1207"/>
        <v>septiembre</v>
      </c>
      <c r="D3106" t="s">
        <v>55</v>
      </c>
      <c r="F3106" t="s">
        <v>89</v>
      </c>
      <c r="G3106">
        <v>4</v>
      </c>
      <c r="H3106">
        <v>300</v>
      </c>
      <c r="I3106">
        <f t="shared" ref="I3106:I3169" si="1208">+G3106*H3106</f>
        <v>1200</v>
      </c>
      <c r="J3106" t="s">
        <v>167</v>
      </c>
      <c r="K3106">
        <v>268</v>
      </c>
      <c r="M3106">
        <f t="shared" si="1205"/>
        <v>1072</v>
      </c>
      <c r="N3106">
        <f t="shared" si="1206"/>
        <v>128</v>
      </c>
    </row>
    <row r="3107" spans="1:14" x14ac:dyDescent="0.25">
      <c r="A3107">
        <v>225</v>
      </c>
      <c r="B3107" s="1">
        <v>44090</v>
      </c>
      <c r="C3107" t="str">
        <f t="shared" si="1207"/>
        <v>septiembre</v>
      </c>
      <c r="D3107" t="s">
        <v>26</v>
      </c>
      <c r="F3107" t="s">
        <v>47</v>
      </c>
      <c r="G3107">
        <v>2</v>
      </c>
      <c r="H3107">
        <v>350</v>
      </c>
      <c r="I3107">
        <f t="shared" si="1208"/>
        <v>700</v>
      </c>
      <c r="J3107" t="s">
        <v>99</v>
      </c>
      <c r="K3107">
        <v>260</v>
      </c>
      <c r="M3107">
        <f t="shared" si="1205"/>
        <v>520</v>
      </c>
      <c r="N3107">
        <f t="shared" si="1206"/>
        <v>180</v>
      </c>
    </row>
    <row r="3108" spans="1:14" x14ac:dyDescent="0.25">
      <c r="A3108">
        <v>226</v>
      </c>
      <c r="B3108" s="1">
        <v>44090</v>
      </c>
      <c r="C3108" t="str">
        <f t="shared" si="1207"/>
        <v>septiembre</v>
      </c>
      <c r="D3108" t="s">
        <v>15</v>
      </c>
      <c r="F3108" t="s">
        <v>462</v>
      </c>
      <c r="G3108">
        <v>4</v>
      </c>
      <c r="H3108">
        <v>280</v>
      </c>
      <c r="I3108">
        <f t="shared" si="1208"/>
        <v>1120</v>
      </c>
      <c r="J3108" t="s">
        <v>163</v>
      </c>
      <c r="K3108">
        <v>233</v>
      </c>
      <c r="M3108">
        <f t="shared" si="1205"/>
        <v>932</v>
      </c>
      <c r="N3108">
        <f t="shared" si="1206"/>
        <v>188</v>
      </c>
    </row>
    <row r="3109" spans="1:14" x14ac:dyDescent="0.25">
      <c r="A3109">
        <v>227</v>
      </c>
      <c r="B3109" s="1">
        <v>44090</v>
      </c>
      <c r="C3109" t="str">
        <f t="shared" si="1207"/>
        <v>septiembre</v>
      </c>
      <c r="D3109" t="s">
        <v>56</v>
      </c>
      <c r="F3109" t="s">
        <v>176</v>
      </c>
      <c r="G3109">
        <v>1</v>
      </c>
      <c r="H3109">
        <v>260</v>
      </c>
      <c r="I3109">
        <f t="shared" si="1208"/>
        <v>260</v>
      </c>
      <c r="J3109" t="s">
        <v>163</v>
      </c>
      <c r="K3109">
        <v>200</v>
      </c>
      <c r="M3109">
        <f t="shared" si="1205"/>
        <v>200</v>
      </c>
      <c r="N3109">
        <f t="shared" si="1206"/>
        <v>60</v>
      </c>
    </row>
    <row r="3110" spans="1:14" x14ac:dyDescent="0.25">
      <c r="A3110">
        <v>228</v>
      </c>
      <c r="B3110" s="1">
        <v>44090</v>
      </c>
      <c r="C3110" t="str">
        <f t="shared" si="1207"/>
        <v>septiembre</v>
      </c>
      <c r="D3110" t="s">
        <v>44</v>
      </c>
      <c r="F3110" t="s">
        <v>138</v>
      </c>
      <c r="G3110">
        <v>1</v>
      </c>
      <c r="H3110">
        <v>35</v>
      </c>
      <c r="I3110">
        <f t="shared" si="1208"/>
        <v>35</v>
      </c>
      <c r="J3110" t="s">
        <v>198</v>
      </c>
      <c r="K3110">
        <v>26</v>
      </c>
      <c r="M3110">
        <f t="shared" si="1205"/>
        <v>26</v>
      </c>
      <c r="N3110">
        <f t="shared" si="1206"/>
        <v>9</v>
      </c>
    </row>
    <row r="3111" spans="1:14" x14ac:dyDescent="0.25">
      <c r="A3111">
        <v>229</v>
      </c>
      <c r="B3111" s="1">
        <v>44090</v>
      </c>
      <c r="C3111" t="str">
        <f t="shared" si="1207"/>
        <v>septiembre</v>
      </c>
      <c r="D3111" t="s">
        <v>25</v>
      </c>
      <c r="F3111" t="s">
        <v>58</v>
      </c>
      <c r="G3111">
        <v>1</v>
      </c>
      <c r="H3111">
        <v>60</v>
      </c>
      <c r="I3111">
        <f t="shared" si="1208"/>
        <v>60</v>
      </c>
      <c r="J3111" t="s">
        <v>165</v>
      </c>
      <c r="K3111">
        <v>34</v>
      </c>
      <c r="M3111">
        <f t="shared" si="1205"/>
        <v>34</v>
      </c>
      <c r="N3111">
        <f t="shared" si="1206"/>
        <v>26</v>
      </c>
    </row>
    <row r="3112" spans="1:14" x14ac:dyDescent="0.25">
      <c r="A3112">
        <v>230</v>
      </c>
      <c r="B3112" s="1">
        <v>44090</v>
      </c>
      <c r="C3112" t="str">
        <f t="shared" si="1207"/>
        <v>septiembre</v>
      </c>
      <c r="D3112" t="s">
        <v>56</v>
      </c>
      <c r="F3112" t="s">
        <v>267</v>
      </c>
      <c r="G3112">
        <v>3</v>
      </c>
      <c r="H3112">
        <v>170</v>
      </c>
      <c r="I3112">
        <f t="shared" si="1208"/>
        <v>510</v>
      </c>
      <c r="J3112" t="s">
        <v>163</v>
      </c>
      <c r="K3112">
        <v>123</v>
      </c>
      <c r="M3112">
        <f t="shared" si="1205"/>
        <v>369</v>
      </c>
      <c r="N3112">
        <f t="shared" si="1206"/>
        <v>141</v>
      </c>
    </row>
    <row r="3113" spans="1:14" x14ac:dyDescent="0.25">
      <c r="A3113">
        <v>231</v>
      </c>
      <c r="B3113" s="1">
        <v>44090</v>
      </c>
      <c r="C3113" t="str">
        <f t="shared" si="1207"/>
        <v>septiembre</v>
      </c>
      <c r="D3113" t="s">
        <v>44</v>
      </c>
      <c r="F3113" t="s">
        <v>387</v>
      </c>
      <c r="G3113">
        <v>1</v>
      </c>
      <c r="H3113">
        <v>35</v>
      </c>
      <c r="I3113">
        <f t="shared" si="1208"/>
        <v>35</v>
      </c>
      <c r="J3113" t="s">
        <v>166</v>
      </c>
      <c r="K3113">
        <v>22</v>
      </c>
      <c r="M3113">
        <f t="shared" si="1205"/>
        <v>22</v>
      </c>
      <c r="N3113">
        <f t="shared" si="1206"/>
        <v>13</v>
      </c>
    </row>
    <row r="3114" spans="1:14" x14ac:dyDescent="0.25">
      <c r="A3114">
        <v>232</v>
      </c>
      <c r="B3114" s="1">
        <v>44090</v>
      </c>
      <c r="C3114" t="str">
        <f t="shared" si="1207"/>
        <v>septiembre</v>
      </c>
      <c r="D3114" t="s">
        <v>25</v>
      </c>
      <c r="F3114" t="s">
        <v>148</v>
      </c>
      <c r="G3114">
        <v>2</v>
      </c>
      <c r="H3114">
        <v>60</v>
      </c>
      <c r="I3114">
        <f t="shared" si="1208"/>
        <v>120</v>
      </c>
      <c r="J3114" t="s">
        <v>165</v>
      </c>
      <c r="K3114">
        <v>34</v>
      </c>
      <c r="M3114">
        <f t="shared" si="1205"/>
        <v>68</v>
      </c>
      <c r="N3114">
        <f t="shared" si="1206"/>
        <v>52</v>
      </c>
    </row>
    <row r="3115" spans="1:14" x14ac:dyDescent="0.25">
      <c r="A3115">
        <v>233</v>
      </c>
      <c r="B3115" s="1">
        <v>44090</v>
      </c>
      <c r="C3115" t="str">
        <f t="shared" si="1207"/>
        <v>septiembre</v>
      </c>
      <c r="D3115" t="s">
        <v>15</v>
      </c>
      <c r="F3115" t="s">
        <v>312</v>
      </c>
      <c r="G3115">
        <v>7.03</v>
      </c>
      <c r="H3115">
        <v>300</v>
      </c>
      <c r="I3115">
        <f t="shared" si="1208"/>
        <v>2109</v>
      </c>
      <c r="J3115" t="s">
        <v>167</v>
      </c>
      <c r="K3115">
        <v>268</v>
      </c>
      <c r="M3115">
        <f t="shared" si="1205"/>
        <v>1884.04</v>
      </c>
      <c r="N3115">
        <f t="shared" si="1206"/>
        <v>224.96000000000004</v>
      </c>
    </row>
    <row r="3116" spans="1:14" x14ac:dyDescent="0.25">
      <c r="A3116">
        <v>234</v>
      </c>
      <c r="B3116" s="1">
        <v>44090</v>
      </c>
      <c r="C3116" t="str">
        <f t="shared" si="1207"/>
        <v>septiembre</v>
      </c>
      <c r="D3116" t="s">
        <v>55</v>
      </c>
      <c r="F3116" t="s">
        <v>22</v>
      </c>
      <c r="G3116">
        <v>2</v>
      </c>
      <c r="H3116">
        <v>300</v>
      </c>
      <c r="I3116">
        <f t="shared" si="1208"/>
        <v>600</v>
      </c>
      <c r="J3116" t="s">
        <v>167</v>
      </c>
      <c r="K3116">
        <v>268</v>
      </c>
      <c r="M3116">
        <f t="shared" si="1205"/>
        <v>536</v>
      </c>
      <c r="N3116">
        <f t="shared" si="1206"/>
        <v>64</v>
      </c>
    </row>
    <row r="3117" spans="1:14" x14ac:dyDescent="0.25">
      <c r="A3117">
        <v>235</v>
      </c>
      <c r="B3117" s="1">
        <v>44090</v>
      </c>
      <c r="C3117" t="str">
        <f t="shared" si="1207"/>
        <v>septiembre</v>
      </c>
      <c r="D3117" t="s">
        <v>26</v>
      </c>
      <c r="F3117" t="s">
        <v>47</v>
      </c>
      <c r="G3117">
        <v>13</v>
      </c>
      <c r="H3117">
        <v>350</v>
      </c>
      <c r="I3117">
        <f t="shared" si="1208"/>
        <v>4550</v>
      </c>
      <c r="J3117" t="s">
        <v>99</v>
      </c>
      <c r="K3117">
        <v>260</v>
      </c>
      <c r="M3117">
        <f t="shared" si="1205"/>
        <v>3380</v>
      </c>
      <c r="N3117">
        <f t="shared" si="1206"/>
        <v>1170</v>
      </c>
    </row>
    <row r="3118" spans="1:14" x14ac:dyDescent="0.25">
      <c r="A3118">
        <v>236</v>
      </c>
      <c r="B3118" s="1">
        <v>44090</v>
      </c>
      <c r="C3118" t="str">
        <f t="shared" si="1207"/>
        <v>septiembre</v>
      </c>
      <c r="D3118" t="s">
        <v>25</v>
      </c>
      <c r="F3118" t="s">
        <v>58</v>
      </c>
      <c r="G3118">
        <v>2</v>
      </c>
      <c r="H3118">
        <v>60</v>
      </c>
      <c r="I3118">
        <f t="shared" si="1208"/>
        <v>120</v>
      </c>
      <c r="J3118" t="s">
        <v>165</v>
      </c>
      <c r="K3118">
        <v>34</v>
      </c>
      <c r="M3118">
        <f t="shared" si="1205"/>
        <v>68</v>
      </c>
      <c r="N3118">
        <f t="shared" si="1206"/>
        <v>52</v>
      </c>
    </row>
    <row r="3119" spans="1:14" x14ac:dyDescent="0.25">
      <c r="A3119">
        <v>237</v>
      </c>
      <c r="B3119" s="1">
        <v>44090</v>
      </c>
      <c r="C3119" t="str">
        <f t="shared" si="1207"/>
        <v>septiembre</v>
      </c>
      <c r="D3119" t="s">
        <v>56</v>
      </c>
      <c r="F3119" t="s">
        <v>267</v>
      </c>
      <c r="G3119">
        <v>2</v>
      </c>
      <c r="H3119">
        <v>170</v>
      </c>
      <c r="I3119">
        <f t="shared" si="1208"/>
        <v>340</v>
      </c>
      <c r="J3119" t="s">
        <v>163</v>
      </c>
      <c r="K3119">
        <v>123</v>
      </c>
      <c r="M3119">
        <f t="shared" si="1205"/>
        <v>246</v>
      </c>
      <c r="N3119">
        <f t="shared" si="1206"/>
        <v>94</v>
      </c>
    </row>
    <row r="3120" spans="1:14" x14ac:dyDescent="0.25">
      <c r="A3120">
        <v>238</v>
      </c>
      <c r="B3120" s="1">
        <v>44090</v>
      </c>
      <c r="C3120" t="str">
        <f t="shared" si="1207"/>
        <v>septiembre</v>
      </c>
      <c r="D3120" t="s">
        <v>55</v>
      </c>
      <c r="F3120" t="s">
        <v>408</v>
      </c>
      <c r="G3120">
        <v>4</v>
      </c>
      <c r="H3120">
        <v>300</v>
      </c>
      <c r="I3120">
        <f t="shared" si="1208"/>
        <v>1200</v>
      </c>
      <c r="J3120" t="s">
        <v>167</v>
      </c>
      <c r="K3120">
        <v>268</v>
      </c>
      <c r="M3120">
        <f t="shared" si="1205"/>
        <v>1072</v>
      </c>
      <c r="N3120">
        <f t="shared" si="1206"/>
        <v>128</v>
      </c>
    </row>
    <row r="3121" spans="1:14" x14ac:dyDescent="0.25">
      <c r="A3121">
        <v>239</v>
      </c>
      <c r="B3121" s="1">
        <v>44090</v>
      </c>
      <c r="C3121" t="str">
        <f t="shared" si="1207"/>
        <v>septiembre</v>
      </c>
      <c r="D3121" t="s">
        <v>23</v>
      </c>
      <c r="F3121" s="8" t="s">
        <v>486</v>
      </c>
      <c r="G3121" s="8">
        <v>1</v>
      </c>
      <c r="H3121" s="8">
        <v>4088</v>
      </c>
      <c r="I3121" s="8">
        <f t="shared" si="1208"/>
        <v>4088</v>
      </c>
      <c r="J3121" t="s">
        <v>167</v>
      </c>
      <c r="M3121" t="str">
        <f t="shared" si="1205"/>
        <v/>
      </c>
      <c r="N3121" t="str">
        <f t="shared" si="1206"/>
        <v/>
      </c>
    </row>
    <row r="3122" spans="1:14" x14ac:dyDescent="0.25">
      <c r="A3122">
        <v>240</v>
      </c>
      <c r="B3122" s="1">
        <v>44091</v>
      </c>
      <c r="C3122" t="str">
        <f t="shared" si="1207"/>
        <v>septiembre</v>
      </c>
      <c r="D3122" t="s">
        <v>44</v>
      </c>
      <c r="F3122" t="s">
        <v>138</v>
      </c>
      <c r="G3122">
        <v>1</v>
      </c>
      <c r="H3122">
        <v>35</v>
      </c>
      <c r="I3122">
        <f t="shared" si="1208"/>
        <v>35</v>
      </c>
      <c r="J3122" t="s">
        <v>198</v>
      </c>
      <c r="K3122">
        <v>26</v>
      </c>
      <c r="M3122">
        <f t="shared" si="1205"/>
        <v>26</v>
      </c>
      <c r="N3122">
        <f t="shared" si="1206"/>
        <v>9</v>
      </c>
    </row>
    <row r="3123" spans="1:14" x14ac:dyDescent="0.25">
      <c r="A3123">
        <v>241</v>
      </c>
      <c r="B3123" s="1">
        <v>44091</v>
      </c>
      <c r="C3123" t="str">
        <f t="shared" si="1207"/>
        <v>septiembre</v>
      </c>
      <c r="D3123" t="s">
        <v>15</v>
      </c>
      <c r="F3123" s="8" t="s">
        <v>15</v>
      </c>
      <c r="G3123" s="8">
        <f>2/5</f>
        <v>0.4</v>
      </c>
      <c r="H3123" s="8">
        <v>275</v>
      </c>
      <c r="I3123" s="8">
        <f t="shared" si="1208"/>
        <v>110</v>
      </c>
      <c r="M3123" t="str">
        <f t="shared" si="1205"/>
        <v/>
      </c>
      <c r="N3123" t="str">
        <f t="shared" si="1206"/>
        <v/>
      </c>
    </row>
    <row r="3124" spans="1:14" x14ac:dyDescent="0.25">
      <c r="A3124">
        <v>242</v>
      </c>
      <c r="B3124" s="1">
        <v>44091</v>
      </c>
      <c r="C3124" t="str">
        <f t="shared" si="1207"/>
        <v>septiembre</v>
      </c>
      <c r="D3124" t="s">
        <v>26</v>
      </c>
      <c r="F3124" t="s">
        <v>47</v>
      </c>
      <c r="G3124">
        <v>1.44</v>
      </c>
      <c r="H3124">
        <v>350</v>
      </c>
      <c r="I3124">
        <f t="shared" si="1208"/>
        <v>504</v>
      </c>
      <c r="J3124" t="s">
        <v>99</v>
      </c>
      <c r="K3124">
        <v>260</v>
      </c>
      <c r="M3124">
        <f t="shared" si="1205"/>
        <v>374.4</v>
      </c>
      <c r="N3124">
        <f t="shared" si="1206"/>
        <v>129.60000000000002</v>
      </c>
    </row>
    <row r="3125" spans="1:14" x14ac:dyDescent="0.25">
      <c r="A3125">
        <v>243</v>
      </c>
      <c r="B3125" s="1">
        <v>44091</v>
      </c>
      <c r="C3125" t="str">
        <f t="shared" si="1207"/>
        <v>septiembre</v>
      </c>
      <c r="D3125" t="s">
        <v>26</v>
      </c>
      <c r="F3125" t="s">
        <v>47</v>
      </c>
      <c r="G3125">
        <v>11</v>
      </c>
      <c r="H3125">
        <v>350</v>
      </c>
      <c r="I3125">
        <f t="shared" si="1208"/>
        <v>3850</v>
      </c>
      <c r="J3125" t="s">
        <v>99</v>
      </c>
      <c r="K3125">
        <v>260</v>
      </c>
      <c r="M3125">
        <f t="shared" si="1205"/>
        <v>2860</v>
      </c>
      <c r="N3125">
        <f t="shared" si="1206"/>
        <v>990</v>
      </c>
    </row>
    <row r="3126" spans="1:14" x14ac:dyDescent="0.25">
      <c r="A3126">
        <v>244</v>
      </c>
      <c r="B3126" s="1">
        <v>44091</v>
      </c>
      <c r="C3126" t="str">
        <f t="shared" si="1207"/>
        <v>septiembre</v>
      </c>
      <c r="D3126" t="s">
        <v>44</v>
      </c>
      <c r="F3126" t="s">
        <v>382</v>
      </c>
      <c r="G3126">
        <v>1</v>
      </c>
      <c r="H3126">
        <v>35</v>
      </c>
      <c r="I3126">
        <f t="shared" si="1208"/>
        <v>35</v>
      </c>
      <c r="J3126" t="s">
        <v>166</v>
      </c>
      <c r="K3126">
        <v>22</v>
      </c>
      <c r="M3126">
        <f t="shared" si="1205"/>
        <v>22</v>
      </c>
      <c r="N3126">
        <f t="shared" si="1206"/>
        <v>13</v>
      </c>
    </row>
    <row r="3127" spans="1:14" x14ac:dyDescent="0.25">
      <c r="A3127">
        <v>245</v>
      </c>
      <c r="B3127" s="1">
        <v>44091</v>
      </c>
      <c r="C3127" t="str">
        <f t="shared" si="1207"/>
        <v>septiembre</v>
      </c>
      <c r="D3127" t="s">
        <v>25</v>
      </c>
      <c r="F3127" t="s">
        <v>58</v>
      </c>
      <c r="G3127">
        <v>4</v>
      </c>
      <c r="H3127">
        <v>60</v>
      </c>
      <c r="I3127">
        <f t="shared" si="1208"/>
        <v>240</v>
      </c>
      <c r="J3127" t="s">
        <v>165</v>
      </c>
      <c r="K3127">
        <v>34</v>
      </c>
      <c r="M3127">
        <f t="shared" si="1205"/>
        <v>136</v>
      </c>
      <c r="N3127">
        <f t="shared" si="1206"/>
        <v>104</v>
      </c>
    </row>
    <row r="3128" spans="1:14" x14ac:dyDescent="0.25">
      <c r="A3128">
        <v>246</v>
      </c>
      <c r="B3128" s="1">
        <v>44091</v>
      </c>
      <c r="C3128" t="str">
        <f t="shared" si="1207"/>
        <v>septiembre</v>
      </c>
      <c r="D3128" t="s">
        <v>56</v>
      </c>
      <c r="F3128" t="s">
        <v>176</v>
      </c>
      <c r="G3128">
        <v>1</v>
      </c>
      <c r="H3128">
        <v>260</v>
      </c>
      <c r="I3128">
        <f t="shared" si="1208"/>
        <v>260</v>
      </c>
      <c r="J3128" t="s">
        <v>163</v>
      </c>
      <c r="K3128">
        <v>200</v>
      </c>
      <c r="M3128">
        <f t="shared" si="1205"/>
        <v>200</v>
      </c>
      <c r="N3128">
        <f t="shared" si="1206"/>
        <v>60</v>
      </c>
    </row>
    <row r="3129" spans="1:14" x14ac:dyDescent="0.25">
      <c r="A3129">
        <v>247</v>
      </c>
      <c r="B3129" s="1">
        <v>44091</v>
      </c>
      <c r="C3129" t="str">
        <f t="shared" si="1207"/>
        <v>septiembre</v>
      </c>
      <c r="D3129" t="s">
        <v>26</v>
      </c>
      <c r="F3129" t="s">
        <v>484</v>
      </c>
      <c r="G3129">
        <v>12.28</v>
      </c>
      <c r="H3129">
        <v>425</v>
      </c>
      <c r="I3129">
        <f t="shared" si="1208"/>
        <v>5219</v>
      </c>
      <c r="J3129" t="s">
        <v>99</v>
      </c>
      <c r="K3129">
        <v>360</v>
      </c>
      <c r="M3129">
        <f t="shared" si="1205"/>
        <v>4420.8</v>
      </c>
      <c r="N3129">
        <f t="shared" si="1206"/>
        <v>798.19999999999982</v>
      </c>
    </row>
    <row r="3130" spans="1:14" x14ac:dyDescent="0.25">
      <c r="A3130">
        <v>248</v>
      </c>
      <c r="B3130" s="1">
        <v>44091</v>
      </c>
      <c r="C3130" t="str">
        <f t="shared" si="1207"/>
        <v>septiembre</v>
      </c>
      <c r="D3130" t="s">
        <v>68</v>
      </c>
      <c r="F3130" t="s">
        <v>485</v>
      </c>
      <c r="G3130">
        <v>1</v>
      </c>
      <c r="H3130">
        <v>220</v>
      </c>
      <c r="I3130">
        <f t="shared" si="1208"/>
        <v>220</v>
      </c>
      <c r="J3130" t="s">
        <v>395</v>
      </c>
      <c r="K3130">
        <v>150</v>
      </c>
      <c r="M3130">
        <f t="shared" si="1205"/>
        <v>150</v>
      </c>
      <c r="N3130">
        <f t="shared" si="1206"/>
        <v>70</v>
      </c>
    </row>
    <row r="3131" spans="1:14" x14ac:dyDescent="0.25">
      <c r="A3131">
        <v>249</v>
      </c>
      <c r="B3131" s="1">
        <v>44091</v>
      </c>
      <c r="C3131" t="str">
        <f t="shared" si="1207"/>
        <v>septiembre</v>
      </c>
      <c r="D3131" t="s">
        <v>15</v>
      </c>
      <c r="F3131" t="s">
        <v>29</v>
      </c>
      <c r="G3131">
        <v>35</v>
      </c>
      <c r="H3131">
        <v>240</v>
      </c>
      <c r="I3131">
        <f t="shared" si="1208"/>
        <v>8400</v>
      </c>
      <c r="J3131" t="s">
        <v>163</v>
      </c>
      <c r="K3131">
        <v>211</v>
      </c>
      <c r="M3131">
        <f t="shared" si="1205"/>
        <v>7385</v>
      </c>
      <c r="N3131">
        <f t="shared" si="1206"/>
        <v>1015</v>
      </c>
    </row>
    <row r="3132" spans="1:14" x14ac:dyDescent="0.25">
      <c r="A3132">
        <v>250</v>
      </c>
      <c r="B3132" s="1">
        <v>44091</v>
      </c>
      <c r="C3132" t="str">
        <f t="shared" si="1207"/>
        <v>septiembre</v>
      </c>
      <c r="D3132" t="s">
        <v>25</v>
      </c>
      <c r="F3132" t="s">
        <v>60</v>
      </c>
      <c r="G3132">
        <v>5</v>
      </c>
      <c r="H3132">
        <v>60</v>
      </c>
      <c r="I3132">
        <f t="shared" si="1208"/>
        <v>300</v>
      </c>
      <c r="J3132" t="s">
        <v>165</v>
      </c>
      <c r="K3132">
        <v>34</v>
      </c>
      <c r="M3132">
        <f t="shared" si="1205"/>
        <v>170</v>
      </c>
      <c r="N3132">
        <f t="shared" si="1206"/>
        <v>130</v>
      </c>
    </row>
    <row r="3133" spans="1:14" x14ac:dyDescent="0.25">
      <c r="A3133">
        <v>251</v>
      </c>
      <c r="B3133" s="1">
        <v>44092</v>
      </c>
      <c r="C3133" t="str">
        <f t="shared" si="1207"/>
        <v>septiembre</v>
      </c>
      <c r="D3133" t="s">
        <v>15</v>
      </c>
      <c r="F3133" t="s">
        <v>29</v>
      </c>
      <c r="G3133">
        <v>15</v>
      </c>
      <c r="H3133">
        <v>240</v>
      </c>
      <c r="I3133">
        <f t="shared" si="1208"/>
        <v>3600</v>
      </c>
      <c r="J3133" t="s">
        <v>163</v>
      </c>
      <c r="K3133">
        <v>211</v>
      </c>
      <c r="M3133">
        <f t="shared" si="1205"/>
        <v>3165</v>
      </c>
      <c r="N3133">
        <f t="shared" si="1206"/>
        <v>435</v>
      </c>
    </row>
    <row r="3134" spans="1:14" x14ac:dyDescent="0.25">
      <c r="A3134">
        <v>252</v>
      </c>
      <c r="B3134" s="1">
        <v>44092</v>
      </c>
      <c r="C3134" t="str">
        <f t="shared" si="1207"/>
        <v>septiembre</v>
      </c>
      <c r="D3134" t="s">
        <v>15</v>
      </c>
      <c r="F3134" t="s">
        <v>487</v>
      </c>
      <c r="G3134">
        <v>2.5</v>
      </c>
      <c r="H3134">
        <v>240</v>
      </c>
      <c r="I3134">
        <f t="shared" si="1208"/>
        <v>600</v>
      </c>
      <c r="J3134" t="s">
        <v>167</v>
      </c>
      <c r="K3134">
        <v>207</v>
      </c>
      <c r="M3134">
        <f t="shared" si="1205"/>
        <v>517.5</v>
      </c>
      <c r="N3134">
        <f t="shared" si="1206"/>
        <v>82.5</v>
      </c>
    </row>
    <row r="3135" spans="1:14" x14ac:dyDescent="0.25">
      <c r="A3135">
        <v>253</v>
      </c>
      <c r="B3135" s="1">
        <v>44092</v>
      </c>
      <c r="C3135" t="str">
        <f t="shared" si="1207"/>
        <v>septiembre</v>
      </c>
      <c r="D3135" t="s">
        <v>55</v>
      </c>
      <c r="F3135" t="s">
        <v>422</v>
      </c>
      <c r="G3135">
        <v>6</v>
      </c>
      <c r="H3135">
        <v>270</v>
      </c>
      <c r="I3135">
        <f t="shared" si="1208"/>
        <v>1620</v>
      </c>
      <c r="J3135" t="s">
        <v>167</v>
      </c>
      <c r="K3135">
        <v>207</v>
      </c>
      <c r="M3135">
        <f t="shared" si="1205"/>
        <v>1242</v>
      </c>
      <c r="N3135">
        <f t="shared" si="1206"/>
        <v>378</v>
      </c>
    </row>
    <row r="3136" spans="1:14" x14ac:dyDescent="0.25">
      <c r="A3136">
        <v>254</v>
      </c>
      <c r="B3136" s="1">
        <v>44092</v>
      </c>
      <c r="C3136" t="str">
        <f t="shared" si="1207"/>
        <v>septiembre</v>
      </c>
      <c r="D3136" t="s">
        <v>24</v>
      </c>
      <c r="F3136" t="s">
        <v>24</v>
      </c>
      <c r="G3136">
        <v>1</v>
      </c>
      <c r="H3136">
        <v>100</v>
      </c>
      <c r="I3136">
        <f t="shared" si="1208"/>
        <v>100</v>
      </c>
      <c r="J3136" t="s">
        <v>186</v>
      </c>
      <c r="K3136">
        <v>80</v>
      </c>
      <c r="M3136">
        <f t="shared" si="1205"/>
        <v>80</v>
      </c>
      <c r="N3136">
        <f t="shared" si="1206"/>
        <v>20</v>
      </c>
    </row>
    <row r="3137" spans="1:14" x14ac:dyDescent="0.25">
      <c r="A3137">
        <v>255</v>
      </c>
      <c r="B3137" s="1">
        <v>44092</v>
      </c>
      <c r="C3137" t="str">
        <f t="shared" si="1207"/>
        <v>septiembre</v>
      </c>
      <c r="D3137" t="s">
        <v>25</v>
      </c>
      <c r="F3137" t="s">
        <v>137</v>
      </c>
      <c r="G3137">
        <v>1</v>
      </c>
      <c r="H3137">
        <v>60</v>
      </c>
      <c r="I3137">
        <f t="shared" si="1208"/>
        <v>60</v>
      </c>
      <c r="J3137" t="s">
        <v>165</v>
      </c>
      <c r="K3137">
        <v>34</v>
      </c>
      <c r="M3137">
        <f t="shared" si="1205"/>
        <v>34</v>
      </c>
      <c r="N3137">
        <f t="shared" si="1206"/>
        <v>26</v>
      </c>
    </row>
    <row r="3138" spans="1:14" x14ac:dyDescent="0.25">
      <c r="A3138">
        <v>256</v>
      </c>
      <c r="B3138" s="1">
        <v>44092</v>
      </c>
      <c r="C3138" t="str">
        <f t="shared" si="1207"/>
        <v>septiembre</v>
      </c>
      <c r="D3138" t="s">
        <v>44</v>
      </c>
      <c r="F3138" t="s">
        <v>138</v>
      </c>
      <c r="G3138">
        <v>1</v>
      </c>
      <c r="H3138">
        <v>35</v>
      </c>
      <c r="I3138">
        <f t="shared" si="1208"/>
        <v>35</v>
      </c>
      <c r="J3138" t="s">
        <v>198</v>
      </c>
      <c r="K3138">
        <v>26</v>
      </c>
      <c r="M3138">
        <f t="shared" si="1205"/>
        <v>26</v>
      </c>
      <c r="N3138">
        <f t="shared" si="1206"/>
        <v>9</v>
      </c>
    </row>
    <row r="3139" spans="1:14" x14ac:dyDescent="0.25">
      <c r="A3139">
        <v>257</v>
      </c>
      <c r="B3139" s="1">
        <v>44092</v>
      </c>
      <c r="C3139" t="str">
        <f t="shared" si="1207"/>
        <v>septiembre</v>
      </c>
      <c r="D3139" t="s">
        <v>56</v>
      </c>
      <c r="F3139" t="s">
        <v>267</v>
      </c>
      <c r="G3139">
        <v>1</v>
      </c>
      <c r="H3139">
        <v>170</v>
      </c>
      <c r="I3139">
        <f t="shared" si="1208"/>
        <v>170</v>
      </c>
      <c r="J3139" t="s">
        <v>163</v>
      </c>
      <c r="K3139">
        <v>123</v>
      </c>
      <c r="M3139">
        <f t="shared" si="1205"/>
        <v>123</v>
      </c>
      <c r="N3139">
        <f t="shared" si="1206"/>
        <v>47</v>
      </c>
    </row>
    <row r="3140" spans="1:14" x14ac:dyDescent="0.25">
      <c r="A3140">
        <v>258</v>
      </c>
      <c r="B3140" s="1">
        <v>44092</v>
      </c>
      <c r="C3140" t="str">
        <f t="shared" si="1207"/>
        <v>septiembre</v>
      </c>
      <c r="D3140" t="s">
        <v>55</v>
      </c>
      <c r="F3140" t="s">
        <v>473</v>
      </c>
      <c r="G3140">
        <v>6</v>
      </c>
      <c r="H3140">
        <v>270</v>
      </c>
      <c r="I3140">
        <f t="shared" si="1208"/>
        <v>1620</v>
      </c>
      <c r="J3140" t="s">
        <v>167</v>
      </c>
      <c r="K3140">
        <v>207</v>
      </c>
      <c r="M3140">
        <f t="shared" si="1205"/>
        <v>1242</v>
      </c>
      <c r="N3140">
        <f t="shared" si="1206"/>
        <v>378</v>
      </c>
    </row>
    <row r="3141" spans="1:14" x14ac:dyDescent="0.25">
      <c r="A3141">
        <v>259</v>
      </c>
      <c r="B3141" s="1">
        <v>44092</v>
      </c>
      <c r="C3141" t="str">
        <f t="shared" si="1207"/>
        <v>septiembre</v>
      </c>
      <c r="D3141" t="s">
        <v>25</v>
      </c>
      <c r="F3141" t="s">
        <v>156</v>
      </c>
      <c r="G3141">
        <v>2</v>
      </c>
      <c r="H3141">
        <v>60</v>
      </c>
      <c r="I3141">
        <f t="shared" si="1208"/>
        <v>120</v>
      </c>
      <c r="J3141" t="s">
        <v>165</v>
      </c>
      <c r="K3141">
        <v>34</v>
      </c>
      <c r="M3141">
        <f t="shared" si="1205"/>
        <v>68</v>
      </c>
      <c r="N3141">
        <f t="shared" si="1206"/>
        <v>52</v>
      </c>
    </row>
    <row r="3142" spans="1:14" x14ac:dyDescent="0.25">
      <c r="A3142">
        <v>260</v>
      </c>
      <c r="B3142" s="1">
        <v>44092</v>
      </c>
      <c r="C3142" t="str">
        <f t="shared" si="1207"/>
        <v>septiembre</v>
      </c>
      <c r="D3142" t="s">
        <v>44</v>
      </c>
      <c r="F3142" t="s">
        <v>138</v>
      </c>
      <c r="G3142">
        <v>1</v>
      </c>
      <c r="H3142">
        <v>35</v>
      </c>
      <c r="I3142">
        <f t="shared" si="1208"/>
        <v>35</v>
      </c>
      <c r="J3142" t="s">
        <v>198</v>
      </c>
      <c r="K3142">
        <v>26</v>
      </c>
      <c r="M3142">
        <f t="shared" si="1205"/>
        <v>26</v>
      </c>
      <c r="N3142">
        <f t="shared" si="1206"/>
        <v>9</v>
      </c>
    </row>
    <row r="3143" spans="1:14" x14ac:dyDescent="0.25">
      <c r="A3143">
        <v>261</v>
      </c>
      <c r="B3143" s="1">
        <v>44092</v>
      </c>
      <c r="C3143" t="str">
        <f t="shared" si="1207"/>
        <v>septiembre</v>
      </c>
      <c r="D3143" t="s">
        <v>24</v>
      </c>
      <c r="F3143" t="s">
        <v>24</v>
      </c>
      <c r="G3143">
        <v>2</v>
      </c>
      <c r="H3143">
        <v>100</v>
      </c>
      <c r="I3143">
        <f t="shared" si="1208"/>
        <v>200</v>
      </c>
      <c r="J3143" t="s">
        <v>186</v>
      </c>
      <c r="K3143">
        <v>80</v>
      </c>
      <c r="M3143">
        <f t="shared" si="1205"/>
        <v>160</v>
      </c>
      <c r="N3143">
        <f t="shared" si="1206"/>
        <v>40</v>
      </c>
    </row>
    <row r="3144" spans="1:14" x14ac:dyDescent="0.25">
      <c r="A3144">
        <v>262</v>
      </c>
      <c r="B3144" s="1">
        <v>44092</v>
      </c>
      <c r="C3144" t="str">
        <f t="shared" si="1207"/>
        <v>septiembre</v>
      </c>
      <c r="D3144" t="s">
        <v>15</v>
      </c>
      <c r="F3144" t="s">
        <v>17</v>
      </c>
      <c r="G3144">
        <v>12</v>
      </c>
      <c r="H3144">
        <v>360</v>
      </c>
      <c r="I3144">
        <f t="shared" si="1208"/>
        <v>4320</v>
      </c>
      <c r="J3144" t="s">
        <v>167</v>
      </c>
      <c r="K3144">
        <v>307</v>
      </c>
      <c r="M3144">
        <f t="shared" si="1205"/>
        <v>3684</v>
      </c>
      <c r="N3144">
        <f t="shared" si="1206"/>
        <v>636</v>
      </c>
    </row>
    <row r="3145" spans="1:14" x14ac:dyDescent="0.25">
      <c r="A3145">
        <v>263</v>
      </c>
      <c r="B3145" s="1">
        <v>44092</v>
      </c>
      <c r="C3145" t="str">
        <f t="shared" si="1207"/>
        <v>septiembre</v>
      </c>
      <c r="D3145" t="s">
        <v>15</v>
      </c>
      <c r="F3145" t="s">
        <v>29</v>
      </c>
      <c r="G3145">
        <v>10</v>
      </c>
      <c r="H3145">
        <v>240</v>
      </c>
      <c r="I3145">
        <f t="shared" si="1208"/>
        <v>2400</v>
      </c>
      <c r="J3145" t="s">
        <v>163</v>
      </c>
      <c r="K3145">
        <v>211</v>
      </c>
      <c r="M3145">
        <f t="shared" ref="M3145:M3176" si="1209">+IF(K3145=0,(""),(K3145*G3145))</f>
        <v>2110</v>
      </c>
      <c r="N3145">
        <f t="shared" ref="N3145:N3176" si="1210">+IF(K3145=0,(""),(I3145-M3145))</f>
        <v>290</v>
      </c>
    </row>
    <row r="3146" spans="1:14" x14ac:dyDescent="0.25">
      <c r="A3146">
        <v>264</v>
      </c>
      <c r="B3146" s="1">
        <v>44092</v>
      </c>
      <c r="C3146" t="str">
        <f t="shared" si="1207"/>
        <v>septiembre</v>
      </c>
      <c r="D3146" t="s">
        <v>23</v>
      </c>
      <c r="F3146" t="s">
        <v>215</v>
      </c>
      <c r="G3146">
        <v>2</v>
      </c>
      <c r="H3146">
        <v>35</v>
      </c>
      <c r="I3146">
        <f t="shared" si="1208"/>
        <v>70</v>
      </c>
      <c r="J3146" t="s">
        <v>187</v>
      </c>
      <c r="K3146">
        <v>25</v>
      </c>
      <c r="M3146">
        <f t="shared" si="1209"/>
        <v>50</v>
      </c>
      <c r="N3146">
        <f t="shared" si="1210"/>
        <v>20</v>
      </c>
    </row>
    <row r="3147" spans="1:14" x14ac:dyDescent="0.25">
      <c r="A3147">
        <v>265</v>
      </c>
      <c r="B3147" s="1">
        <v>44092</v>
      </c>
      <c r="C3147" t="str">
        <f t="shared" si="1207"/>
        <v>septiembre</v>
      </c>
      <c r="D3147" t="s">
        <v>25</v>
      </c>
      <c r="F3147" t="s">
        <v>60</v>
      </c>
      <c r="G3147">
        <v>3</v>
      </c>
      <c r="H3147">
        <v>60</v>
      </c>
      <c r="I3147">
        <f t="shared" si="1208"/>
        <v>180</v>
      </c>
      <c r="J3147" t="s">
        <v>165</v>
      </c>
      <c r="K3147">
        <v>34</v>
      </c>
      <c r="M3147">
        <f t="shared" si="1209"/>
        <v>102</v>
      </c>
      <c r="N3147">
        <f t="shared" si="1210"/>
        <v>78</v>
      </c>
    </row>
    <row r="3148" spans="1:14" x14ac:dyDescent="0.25">
      <c r="A3148">
        <v>266</v>
      </c>
      <c r="B3148" s="1">
        <v>44092</v>
      </c>
      <c r="C3148" t="str">
        <f t="shared" si="1207"/>
        <v>septiembre</v>
      </c>
      <c r="D3148" t="s">
        <v>15</v>
      </c>
      <c r="F3148" t="s">
        <v>488</v>
      </c>
      <c r="G3148">
        <v>2</v>
      </c>
      <c r="H3148">
        <v>250</v>
      </c>
      <c r="I3148">
        <f t="shared" si="1208"/>
        <v>500</v>
      </c>
      <c r="J3148" t="s">
        <v>167</v>
      </c>
      <c r="K3148">
        <v>219</v>
      </c>
      <c r="M3148">
        <f t="shared" si="1209"/>
        <v>438</v>
      </c>
      <c r="N3148">
        <f t="shared" si="1210"/>
        <v>62</v>
      </c>
    </row>
    <row r="3149" spans="1:14" x14ac:dyDescent="0.25">
      <c r="A3149">
        <v>267</v>
      </c>
      <c r="B3149" s="1">
        <v>44092</v>
      </c>
      <c r="C3149" t="str">
        <f t="shared" si="1207"/>
        <v>septiembre</v>
      </c>
      <c r="D3149" t="s">
        <v>24</v>
      </c>
      <c r="F3149" t="s">
        <v>24</v>
      </c>
      <c r="G3149">
        <v>1</v>
      </c>
      <c r="H3149">
        <v>100</v>
      </c>
      <c r="I3149">
        <f t="shared" si="1208"/>
        <v>100</v>
      </c>
      <c r="J3149" t="s">
        <v>186</v>
      </c>
      <c r="K3149">
        <v>80</v>
      </c>
      <c r="M3149">
        <f t="shared" si="1209"/>
        <v>80</v>
      </c>
      <c r="N3149">
        <f t="shared" si="1210"/>
        <v>20</v>
      </c>
    </row>
    <row r="3150" spans="1:14" x14ac:dyDescent="0.25">
      <c r="A3150">
        <v>268</v>
      </c>
      <c r="B3150" s="1">
        <v>44092</v>
      </c>
      <c r="C3150" t="str">
        <f t="shared" si="1207"/>
        <v>septiembre</v>
      </c>
      <c r="D3150" t="s">
        <v>15</v>
      </c>
      <c r="F3150" t="s">
        <v>312</v>
      </c>
      <c r="G3150">
        <v>9.07</v>
      </c>
      <c r="H3150">
        <v>295</v>
      </c>
      <c r="I3150">
        <f t="shared" si="1208"/>
        <v>2675.65</v>
      </c>
      <c r="J3150" t="s">
        <v>167</v>
      </c>
      <c r="K3150">
        <v>268</v>
      </c>
      <c r="M3150">
        <f t="shared" si="1209"/>
        <v>2430.7600000000002</v>
      </c>
      <c r="N3150">
        <f t="shared" si="1210"/>
        <v>244.88999999999987</v>
      </c>
    </row>
    <row r="3151" spans="1:14" x14ac:dyDescent="0.25">
      <c r="A3151">
        <v>269</v>
      </c>
      <c r="B3151" s="1">
        <v>44093</v>
      </c>
      <c r="C3151" t="str">
        <f t="shared" si="1207"/>
        <v>septiembre</v>
      </c>
      <c r="D3151" t="s">
        <v>25</v>
      </c>
      <c r="F3151" t="s">
        <v>58</v>
      </c>
      <c r="G3151">
        <v>1</v>
      </c>
      <c r="H3151">
        <v>60</v>
      </c>
      <c r="I3151">
        <f t="shared" si="1208"/>
        <v>60</v>
      </c>
      <c r="J3151" t="s">
        <v>165</v>
      </c>
      <c r="K3151">
        <v>34</v>
      </c>
      <c r="M3151">
        <f t="shared" si="1209"/>
        <v>34</v>
      </c>
      <c r="N3151">
        <f t="shared" si="1210"/>
        <v>26</v>
      </c>
    </row>
    <row r="3152" spans="1:14" x14ac:dyDescent="0.25">
      <c r="A3152">
        <v>270</v>
      </c>
      <c r="B3152" s="1">
        <v>44093</v>
      </c>
      <c r="C3152" t="str">
        <f t="shared" si="1207"/>
        <v>septiembre</v>
      </c>
      <c r="D3152" t="s">
        <v>15</v>
      </c>
      <c r="F3152" t="s">
        <v>425</v>
      </c>
      <c r="G3152">
        <v>2</v>
      </c>
      <c r="H3152">
        <v>240</v>
      </c>
      <c r="I3152">
        <f t="shared" si="1208"/>
        <v>480</v>
      </c>
      <c r="J3152" t="s">
        <v>167</v>
      </c>
      <c r="K3152">
        <v>207</v>
      </c>
      <c r="M3152">
        <f t="shared" si="1209"/>
        <v>414</v>
      </c>
      <c r="N3152">
        <f t="shared" si="1210"/>
        <v>66</v>
      </c>
    </row>
    <row r="3153" spans="1:14" x14ac:dyDescent="0.25">
      <c r="A3153">
        <v>271</v>
      </c>
      <c r="B3153" s="1">
        <v>44093</v>
      </c>
      <c r="C3153" t="str">
        <f t="shared" si="1207"/>
        <v>septiembre</v>
      </c>
      <c r="D3153" t="s">
        <v>25</v>
      </c>
      <c r="F3153" t="s">
        <v>57</v>
      </c>
      <c r="G3153">
        <v>1</v>
      </c>
      <c r="H3153">
        <v>60</v>
      </c>
      <c r="I3153">
        <f t="shared" si="1208"/>
        <v>60</v>
      </c>
      <c r="J3153" t="s">
        <v>165</v>
      </c>
      <c r="K3153">
        <v>34</v>
      </c>
      <c r="M3153">
        <f t="shared" si="1209"/>
        <v>34</v>
      </c>
      <c r="N3153">
        <f t="shared" si="1210"/>
        <v>26</v>
      </c>
    </row>
    <row r="3154" spans="1:14" x14ac:dyDescent="0.25">
      <c r="A3154">
        <v>272</v>
      </c>
      <c r="B3154" s="1">
        <v>44093</v>
      </c>
      <c r="C3154" t="str">
        <f t="shared" si="1207"/>
        <v>septiembre</v>
      </c>
      <c r="D3154" t="s">
        <v>15</v>
      </c>
      <c r="F3154" t="s">
        <v>440</v>
      </c>
      <c r="G3154">
        <f>2/5</f>
        <v>0.4</v>
      </c>
      <c r="H3154">
        <v>280</v>
      </c>
      <c r="I3154">
        <f t="shared" si="1208"/>
        <v>112</v>
      </c>
      <c r="J3154" t="s">
        <v>163</v>
      </c>
      <c r="K3154">
        <v>234</v>
      </c>
      <c r="M3154">
        <f t="shared" si="1209"/>
        <v>93.600000000000009</v>
      </c>
      <c r="N3154">
        <f t="shared" si="1210"/>
        <v>18.399999999999991</v>
      </c>
    </row>
    <row r="3155" spans="1:14" x14ac:dyDescent="0.25">
      <c r="A3155">
        <v>273</v>
      </c>
      <c r="B3155" s="1">
        <v>44093</v>
      </c>
      <c r="C3155" t="str">
        <f t="shared" si="1207"/>
        <v>septiembre</v>
      </c>
      <c r="D3155" t="s">
        <v>25</v>
      </c>
      <c r="F3155" t="s">
        <v>57</v>
      </c>
      <c r="G3155">
        <v>1</v>
      </c>
      <c r="H3155">
        <v>60</v>
      </c>
      <c r="I3155">
        <f t="shared" si="1208"/>
        <v>60</v>
      </c>
      <c r="J3155" t="s">
        <v>165</v>
      </c>
      <c r="K3155">
        <v>34</v>
      </c>
      <c r="M3155">
        <f t="shared" si="1209"/>
        <v>34</v>
      </c>
      <c r="N3155">
        <f t="shared" si="1210"/>
        <v>26</v>
      </c>
    </row>
    <row r="3156" spans="1:14" x14ac:dyDescent="0.25">
      <c r="A3156">
        <v>274</v>
      </c>
      <c r="B3156" s="1">
        <v>44093</v>
      </c>
      <c r="C3156" t="str">
        <f t="shared" si="1207"/>
        <v>septiembre</v>
      </c>
      <c r="D3156" t="s">
        <v>15</v>
      </c>
      <c r="F3156" t="s">
        <v>489</v>
      </c>
      <c r="G3156">
        <f>1/10</f>
        <v>0.1</v>
      </c>
      <c r="H3156">
        <v>240</v>
      </c>
      <c r="I3156">
        <f t="shared" si="1208"/>
        <v>24</v>
      </c>
      <c r="J3156" t="s">
        <v>167</v>
      </c>
      <c r="K3156">
        <v>207</v>
      </c>
      <c r="M3156">
        <f t="shared" si="1209"/>
        <v>20.700000000000003</v>
      </c>
      <c r="N3156">
        <f t="shared" si="1210"/>
        <v>3.2999999999999972</v>
      </c>
    </row>
    <row r="3157" spans="1:14" x14ac:dyDescent="0.25">
      <c r="A3157">
        <v>275</v>
      </c>
      <c r="B3157" s="1">
        <v>44093</v>
      </c>
      <c r="C3157" t="str">
        <f t="shared" si="1207"/>
        <v>septiembre</v>
      </c>
      <c r="D3157" t="s">
        <v>56</v>
      </c>
      <c r="F3157" t="s">
        <v>236</v>
      </c>
      <c r="G3157">
        <v>1</v>
      </c>
      <c r="H3157">
        <v>120</v>
      </c>
      <c r="I3157">
        <f t="shared" si="1208"/>
        <v>120</v>
      </c>
      <c r="J3157" t="s">
        <v>165</v>
      </c>
      <c r="K3157">
        <v>80</v>
      </c>
      <c r="M3157">
        <f t="shared" si="1209"/>
        <v>80</v>
      </c>
      <c r="N3157">
        <f t="shared" si="1210"/>
        <v>40</v>
      </c>
    </row>
    <row r="3158" spans="1:14" x14ac:dyDescent="0.25">
      <c r="A3158">
        <v>276</v>
      </c>
      <c r="B3158" s="1">
        <v>44093</v>
      </c>
      <c r="C3158" t="str">
        <f t="shared" si="1207"/>
        <v>septiembre</v>
      </c>
      <c r="D3158" t="s">
        <v>25</v>
      </c>
      <c r="F3158" t="s">
        <v>58</v>
      </c>
      <c r="G3158">
        <v>1</v>
      </c>
      <c r="H3158">
        <v>60</v>
      </c>
      <c r="I3158">
        <f t="shared" si="1208"/>
        <v>60</v>
      </c>
      <c r="J3158" t="s">
        <v>165</v>
      </c>
      <c r="K3158">
        <v>34</v>
      </c>
      <c r="M3158">
        <f t="shared" si="1209"/>
        <v>34</v>
      </c>
      <c r="N3158">
        <f t="shared" si="1210"/>
        <v>26</v>
      </c>
    </row>
    <row r="3159" spans="1:14" x14ac:dyDescent="0.25">
      <c r="A3159">
        <v>277</v>
      </c>
      <c r="B3159" s="1">
        <v>44093</v>
      </c>
      <c r="C3159" t="str">
        <f t="shared" si="1207"/>
        <v>septiembre</v>
      </c>
      <c r="D3159" t="s">
        <v>25</v>
      </c>
      <c r="F3159" t="s">
        <v>58</v>
      </c>
      <c r="G3159">
        <v>1</v>
      </c>
      <c r="H3159">
        <v>60</v>
      </c>
      <c r="I3159">
        <f t="shared" si="1208"/>
        <v>60</v>
      </c>
      <c r="J3159" t="s">
        <v>165</v>
      </c>
      <c r="K3159">
        <v>34</v>
      </c>
      <c r="M3159">
        <f t="shared" si="1209"/>
        <v>34</v>
      </c>
      <c r="N3159">
        <f t="shared" si="1210"/>
        <v>26</v>
      </c>
    </row>
    <row r="3160" spans="1:14" x14ac:dyDescent="0.25">
      <c r="A3160">
        <v>278</v>
      </c>
      <c r="B3160" s="1">
        <v>44093</v>
      </c>
      <c r="C3160" t="str">
        <f t="shared" si="1207"/>
        <v>septiembre</v>
      </c>
      <c r="D3160" t="s">
        <v>15</v>
      </c>
      <c r="F3160" t="s">
        <v>490</v>
      </c>
      <c r="G3160">
        <v>1</v>
      </c>
      <c r="H3160">
        <v>240</v>
      </c>
      <c r="I3160">
        <f t="shared" si="1208"/>
        <v>240</v>
      </c>
      <c r="J3160" t="s">
        <v>167</v>
      </c>
      <c r="K3160">
        <v>207</v>
      </c>
      <c r="M3160">
        <f t="shared" si="1209"/>
        <v>207</v>
      </c>
      <c r="N3160">
        <f t="shared" si="1210"/>
        <v>33</v>
      </c>
    </row>
    <row r="3161" spans="1:14" x14ac:dyDescent="0.25">
      <c r="A3161">
        <v>279</v>
      </c>
      <c r="B3161" s="1">
        <v>44093</v>
      </c>
      <c r="C3161" t="str">
        <f t="shared" si="1207"/>
        <v>septiembre</v>
      </c>
      <c r="D3161" t="s">
        <v>15</v>
      </c>
      <c r="F3161" t="s">
        <v>490</v>
      </c>
      <c r="G3161">
        <v>1</v>
      </c>
      <c r="H3161">
        <v>240</v>
      </c>
      <c r="I3161">
        <f t="shared" si="1208"/>
        <v>240</v>
      </c>
      <c r="J3161" t="s">
        <v>167</v>
      </c>
      <c r="K3161">
        <v>207</v>
      </c>
      <c r="M3161">
        <f t="shared" si="1209"/>
        <v>207</v>
      </c>
      <c r="N3161">
        <f t="shared" si="1210"/>
        <v>33</v>
      </c>
    </row>
    <row r="3162" spans="1:14" x14ac:dyDescent="0.25">
      <c r="A3162">
        <v>280</v>
      </c>
      <c r="B3162" s="1">
        <v>44093</v>
      </c>
      <c r="C3162" t="str">
        <f t="shared" si="1207"/>
        <v>septiembre</v>
      </c>
      <c r="D3162" t="s">
        <v>15</v>
      </c>
      <c r="F3162" t="s">
        <v>481</v>
      </c>
      <c r="G3162">
        <v>16</v>
      </c>
      <c r="H3162">
        <v>250</v>
      </c>
      <c r="I3162">
        <f t="shared" si="1208"/>
        <v>4000</v>
      </c>
      <c r="J3162" t="s">
        <v>163</v>
      </c>
      <c r="K3162">
        <v>220</v>
      </c>
      <c r="M3162">
        <f t="shared" si="1209"/>
        <v>3520</v>
      </c>
      <c r="N3162">
        <f t="shared" si="1210"/>
        <v>480</v>
      </c>
    </row>
    <row r="3163" spans="1:14" x14ac:dyDescent="0.25">
      <c r="A3163">
        <v>281</v>
      </c>
      <c r="B3163" s="1">
        <v>44093</v>
      </c>
      <c r="C3163" t="str">
        <f t="shared" si="1207"/>
        <v>septiembre</v>
      </c>
      <c r="D3163" t="s">
        <v>25</v>
      </c>
      <c r="F3163" t="s">
        <v>58</v>
      </c>
      <c r="G3163">
        <v>4</v>
      </c>
      <c r="H3163">
        <v>60</v>
      </c>
      <c r="I3163">
        <f t="shared" si="1208"/>
        <v>240</v>
      </c>
      <c r="J3163" t="s">
        <v>165</v>
      </c>
      <c r="K3163">
        <v>34</v>
      </c>
      <c r="M3163">
        <f t="shared" si="1209"/>
        <v>136</v>
      </c>
      <c r="N3163">
        <f t="shared" si="1210"/>
        <v>104</v>
      </c>
    </row>
    <row r="3164" spans="1:14" x14ac:dyDescent="0.25">
      <c r="A3164">
        <v>282</v>
      </c>
      <c r="B3164" s="1">
        <v>44093</v>
      </c>
      <c r="C3164" t="str">
        <f t="shared" si="1207"/>
        <v>septiembre</v>
      </c>
      <c r="D3164" t="s">
        <v>44</v>
      </c>
      <c r="F3164" t="s">
        <v>138</v>
      </c>
      <c r="G3164">
        <v>2</v>
      </c>
      <c r="H3164">
        <v>35</v>
      </c>
      <c r="I3164">
        <f t="shared" si="1208"/>
        <v>70</v>
      </c>
      <c r="J3164" t="s">
        <v>198</v>
      </c>
      <c r="K3164">
        <v>26</v>
      </c>
      <c r="M3164">
        <f t="shared" si="1209"/>
        <v>52</v>
      </c>
      <c r="N3164">
        <f t="shared" si="1210"/>
        <v>18</v>
      </c>
    </row>
    <row r="3165" spans="1:14" x14ac:dyDescent="0.25">
      <c r="A3165">
        <v>283</v>
      </c>
      <c r="B3165" s="1">
        <v>44093</v>
      </c>
      <c r="C3165" t="str">
        <f t="shared" si="1207"/>
        <v>septiembre</v>
      </c>
      <c r="D3165" t="s">
        <v>70</v>
      </c>
      <c r="F3165" t="s">
        <v>194</v>
      </c>
      <c r="G3165">
        <v>1</v>
      </c>
      <c r="H3165">
        <v>1950</v>
      </c>
      <c r="I3165">
        <f t="shared" si="1208"/>
        <v>1950</v>
      </c>
      <c r="J3165" t="s">
        <v>167</v>
      </c>
      <c r="K3165">
        <v>1707</v>
      </c>
      <c r="M3165">
        <f t="shared" si="1209"/>
        <v>1707</v>
      </c>
      <c r="N3165">
        <f t="shared" si="1210"/>
        <v>243</v>
      </c>
    </row>
    <row r="3166" spans="1:14" x14ac:dyDescent="0.25">
      <c r="A3166">
        <v>284</v>
      </c>
      <c r="B3166" s="1">
        <v>44093</v>
      </c>
      <c r="C3166" t="str">
        <f t="shared" ref="C3166:C3229" si="1211">+TEXT(B3166,"mmmm")</f>
        <v>septiembre</v>
      </c>
      <c r="D3166" t="s">
        <v>15</v>
      </c>
      <c r="F3166" t="s">
        <v>63</v>
      </c>
      <c r="G3166">
        <v>1</v>
      </c>
      <c r="H3166">
        <v>290</v>
      </c>
      <c r="I3166">
        <f t="shared" si="1208"/>
        <v>290</v>
      </c>
      <c r="J3166" t="s">
        <v>163</v>
      </c>
      <c r="K3166">
        <v>248</v>
      </c>
      <c r="M3166">
        <f t="shared" si="1209"/>
        <v>248</v>
      </c>
      <c r="N3166">
        <f t="shared" si="1210"/>
        <v>42</v>
      </c>
    </row>
    <row r="3167" spans="1:14" x14ac:dyDescent="0.25">
      <c r="A3167">
        <v>285</v>
      </c>
      <c r="B3167" s="1">
        <v>44093</v>
      </c>
      <c r="C3167" t="str">
        <f t="shared" si="1211"/>
        <v>septiembre</v>
      </c>
      <c r="D3167" t="s">
        <v>26</v>
      </c>
      <c r="F3167" t="s">
        <v>484</v>
      </c>
      <c r="G3167">
        <v>10</v>
      </c>
      <c r="H3167">
        <v>425</v>
      </c>
      <c r="I3167">
        <f t="shared" si="1208"/>
        <v>4250</v>
      </c>
      <c r="J3167" t="s">
        <v>99</v>
      </c>
      <c r="K3167">
        <v>360</v>
      </c>
      <c r="M3167">
        <f t="shared" si="1209"/>
        <v>3600</v>
      </c>
      <c r="N3167">
        <f t="shared" si="1210"/>
        <v>650</v>
      </c>
    </row>
    <row r="3168" spans="1:14" x14ac:dyDescent="0.25">
      <c r="A3168">
        <v>286</v>
      </c>
      <c r="B3168" s="1">
        <v>44093</v>
      </c>
      <c r="C3168" t="str">
        <f t="shared" si="1211"/>
        <v>septiembre</v>
      </c>
      <c r="D3168" t="s">
        <v>55</v>
      </c>
      <c r="F3168" t="s">
        <v>111</v>
      </c>
      <c r="G3168">
        <v>1</v>
      </c>
      <c r="H3168">
        <v>295</v>
      </c>
      <c r="I3168">
        <f t="shared" si="1208"/>
        <v>295</v>
      </c>
      <c r="J3168" t="s">
        <v>167</v>
      </c>
      <c r="K3168">
        <v>268</v>
      </c>
      <c r="M3168">
        <f t="shared" si="1209"/>
        <v>268</v>
      </c>
      <c r="N3168">
        <f t="shared" si="1210"/>
        <v>27</v>
      </c>
    </row>
    <row r="3169" spans="1:14" x14ac:dyDescent="0.25">
      <c r="A3169">
        <v>287</v>
      </c>
      <c r="B3169" s="1">
        <v>44093</v>
      </c>
      <c r="C3169" t="str">
        <f t="shared" si="1211"/>
        <v>septiembre</v>
      </c>
      <c r="D3169" t="s">
        <v>55</v>
      </c>
      <c r="F3169" t="s">
        <v>22</v>
      </c>
      <c r="G3169">
        <v>1</v>
      </c>
      <c r="H3169">
        <v>295</v>
      </c>
      <c r="I3169">
        <f t="shared" si="1208"/>
        <v>295</v>
      </c>
      <c r="J3169" t="s">
        <v>167</v>
      </c>
      <c r="K3169">
        <v>268</v>
      </c>
      <c r="M3169">
        <f t="shared" si="1209"/>
        <v>268</v>
      </c>
      <c r="N3169">
        <f t="shared" si="1210"/>
        <v>27</v>
      </c>
    </row>
    <row r="3170" spans="1:14" x14ac:dyDescent="0.25">
      <c r="A3170">
        <v>288</v>
      </c>
      <c r="B3170" s="1">
        <v>44093</v>
      </c>
      <c r="C3170" t="str">
        <f t="shared" si="1211"/>
        <v>septiembre</v>
      </c>
      <c r="D3170" t="s">
        <v>15</v>
      </c>
      <c r="F3170" t="s">
        <v>488</v>
      </c>
      <c r="G3170">
        <v>4</v>
      </c>
      <c r="H3170">
        <v>250</v>
      </c>
      <c r="I3170">
        <f t="shared" ref="I3170:I3193" si="1212">+G3170*H3170</f>
        <v>1000</v>
      </c>
      <c r="J3170" t="s">
        <v>167</v>
      </c>
      <c r="K3170">
        <v>207</v>
      </c>
      <c r="M3170">
        <f t="shared" si="1209"/>
        <v>828</v>
      </c>
      <c r="N3170">
        <f t="shared" si="1210"/>
        <v>172</v>
      </c>
    </row>
    <row r="3171" spans="1:14" x14ac:dyDescent="0.25">
      <c r="A3171">
        <v>289</v>
      </c>
      <c r="B3171" s="1">
        <v>44093</v>
      </c>
      <c r="C3171" t="str">
        <f t="shared" si="1211"/>
        <v>septiembre</v>
      </c>
      <c r="D3171" t="s">
        <v>15</v>
      </c>
      <c r="F3171" t="s">
        <v>29</v>
      </c>
      <c r="G3171">
        <v>10</v>
      </c>
      <c r="H3171">
        <v>240</v>
      </c>
      <c r="I3171">
        <f t="shared" si="1212"/>
        <v>2400</v>
      </c>
      <c r="J3171" t="s">
        <v>163</v>
      </c>
      <c r="K3171">
        <v>211</v>
      </c>
      <c r="M3171">
        <f t="shared" si="1209"/>
        <v>2110</v>
      </c>
      <c r="N3171">
        <f t="shared" si="1210"/>
        <v>290</v>
      </c>
    </row>
    <row r="3172" spans="1:14" x14ac:dyDescent="0.25">
      <c r="A3172">
        <v>290</v>
      </c>
      <c r="B3172" s="1">
        <v>44093</v>
      </c>
      <c r="C3172" t="str">
        <f t="shared" si="1211"/>
        <v>septiembre</v>
      </c>
      <c r="D3172" t="s">
        <v>23</v>
      </c>
      <c r="F3172" t="s">
        <v>456</v>
      </c>
      <c r="G3172">
        <v>2</v>
      </c>
      <c r="H3172">
        <v>250</v>
      </c>
      <c r="I3172">
        <f t="shared" si="1212"/>
        <v>500</v>
      </c>
      <c r="J3172" t="s">
        <v>163</v>
      </c>
      <c r="M3172" t="str">
        <f t="shared" si="1209"/>
        <v/>
      </c>
      <c r="N3172" t="str">
        <f t="shared" si="1210"/>
        <v/>
      </c>
    </row>
    <row r="3173" spans="1:14" x14ac:dyDescent="0.25">
      <c r="A3173">
        <v>291</v>
      </c>
      <c r="B3173" s="1">
        <v>44093</v>
      </c>
      <c r="C3173" t="str">
        <f t="shared" si="1211"/>
        <v>septiembre</v>
      </c>
      <c r="D3173" t="s">
        <v>23</v>
      </c>
      <c r="F3173" t="s">
        <v>215</v>
      </c>
      <c r="G3173">
        <v>1</v>
      </c>
      <c r="H3173">
        <v>35</v>
      </c>
      <c r="I3173">
        <f t="shared" si="1212"/>
        <v>35</v>
      </c>
      <c r="J3173" t="s">
        <v>187</v>
      </c>
      <c r="K3173">
        <v>25</v>
      </c>
      <c r="M3173">
        <f t="shared" si="1209"/>
        <v>25</v>
      </c>
      <c r="N3173">
        <f t="shared" si="1210"/>
        <v>10</v>
      </c>
    </row>
    <row r="3174" spans="1:14" x14ac:dyDescent="0.25">
      <c r="A3174">
        <v>292</v>
      </c>
      <c r="B3174" s="1">
        <v>44093</v>
      </c>
      <c r="C3174" t="str">
        <f t="shared" si="1211"/>
        <v>septiembre</v>
      </c>
      <c r="D3174" t="s">
        <v>55</v>
      </c>
      <c r="F3174" t="s">
        <v>22</v>
      </c>
      <c r="G3174">
        <v>7</v>
      </c>
      <c r="H3174">
        <v>300</v>
      </c>
      <c r="I3174">
        <f t="shared" si="1212"/>
        <v>2100</v>
      </c>
      <c r="J3174" t="s">
        <v>167</v>
      </c>
      <c r="K3174">
        <v>268</v>
      </c>
      <c r="M3174">
        <f t="shared" si="1209"/>
        <v>1876</v>
      </c>
      <c r="N3174">
        <f t="shared" si="1210"/>
        <v>224</v>
      </c>
    </row>
    <row r="3175" spans="1:14" x14ac:dyDescent="0.25">
      <c r="A3175">
        <v>293</v>
      </c>
      <c r="B3175" s="1">
        <v>44093</v>
      </c>
      <c r="C3175" t="str">
        <f t="shared" si="1211"/>
        <v>septiembre</v>
      </c>
      <c r="D3175" t="s">
        <v>25</v>
      </c>
      <c r="F3175" t="s">
        <v>72</v>
      </c>
      <c r="G3175">
        <v>2</v>
      </c>
      <c r="H3175">
        <v>60</v>
      </c>
      <c r="I3175">
        <f t="shared" si="1212"/>
        <v>120</v>
      </c>
      <c r="J3175" t="s">
        <v>165</v>
      </c>
      <c r="K3175">
        <v>34</v>
      </c>
      <c r="M3175">
        <f t="shared" si="1209"/>
        <v>68</v>
      </c>
      <c r="N3175">
        <f t="shared" si="1210"/>
        <v>52</v>
      </c>
    </row>
    <row r="3176" spans="1:14" x14ac:dyDescent="0.25">
      <c r="A3176">
        <v>294</v>
      </c>
      <c r="B3176" s="1">
        <v>44093</v>
      </c>
      <c r="C3176" t="str">
        <f t="shared" si="1211"/>
        <v>septiembre</v>
      </c>
      <c r="D3176" t="s">
        <v>56</v>
      </c>
      <c r="F3176" t="s">
        <v>267</v>
      </c>
      <c r="G3176">
        <v>1</v>
      </c>
      <c r="H3176">
        <v>170</v>
      </c>
      <c r="I3176">
        <f t="shared" si="1212"/>
        <v>170</v>
      </c>
      <c r="J3176" t="s">
        <v>163</v>
      </c>
      <c r="K3176">
        <v>123</v>
      </c>
      <c r="M3176">
        <f t="shared" si="1209"/>
        <v>123</v>
      </c>
      <c r="N3176">
        <f t="shared" si="1210"/>
        <v>47</v>
      </c>
    </row>
    <row r="3177" spans="1:14" x14ac:dyDescent="0.25">
      <c r="A3177">
        <v>295</v>
      </c>
      <c r="B3177" s="1">
        <v>44095</v>
      </c>
      <c r="C3177" t="str">
        <f t="shared" si="1211"/>
        <v>septiembre</v>
      </c>
      <c r="D3177" t="s">
        <v>92</v>
      </c>
      <c r="F3177" t="s">
        <v>491</v>
      </c>
      <c r="G3177">
        <v>1</v>
      </c>
      <c r="H3177">
        <v>85</v>
      </c>
      <c r="I3177">
        <f t="shared" si="1212"/>
        <v>85</v>
      </c>
      <c r="J3177" t="s">
        <v>166</v>
      </c>
      <c r="K3177">
        <v>55</v>
      </c>
      <c r="M3177">
        <f t="shared" ref="M3177:M3240" si="1213">+IF(K3177=0,(""),(K3177*G3177))</f>
        <v>55</v>
      </c>
      <c r="N3177">
        <f t="shared" ref="N3177:N3240" si="1214">+IF(K3177=0,(""),(I3177-M3177))</f>
        <v>30</v>
      </c>
    </row>
    <row r="3178" spans="1:14" x14ac:dyDescent="0.25">
      <c r="A3178">
        <v>296</v>
      </c>
      <c r="B3178" s="1">
        <v>44095</v>
      </c>
      <c r="C3178" t="str">
        <f t="shared" si="1211"/>
        <v>septiembre</v>
      </c>
      <c r="D3178" t="s">
        <v>15</v>
      </c>
      <c r="F3178" t="s">
        <v>440</v>
      </c>
      <c r="G3178">
        <v>12</v>
      </c>
      <c r="H3178">
        <v>280</v>
      </c>
      <c r="I3178">
        <f t="shared" si="1212"/>
        <v>3360</v>
      </c>
      <c r="J3178" t="s">
        <v>163</v>
      </c>
      <c r="K3178">
        <v>234</v>
      </c>
      <c r="M3178">
        <f t="shared" si="1213"/>
        <v>2808</v>
      </c>
      <c r="N3178">
        <f t="shared" si="1214"/>
        <v>552</v>
      </c>
    </row>
    <row r="3179" spans="1:14" x14ac:dyDescent="0.25">
      <c r="A3179">
        <v>297</v>
      </c>
      <c r="B3179" s="1">
        <v>44095</v>
      </c>
      <c r="C3179" t="str">
        <f t="shared" si="1211"/>
        <v>septiembre</v>
      </c>
      <c r="D3179" t="s">
        <v>25</v>
      </c>
      <c r="F3179" t="s">
        <v>147</v>
      </c>
      <c r="G3179">
        <v>3</v>
      </c>
      <c r="H3179">
        <v>60</v>
      </c>
      <c r="I3179">
        <f t="shared" si="1212"/>
        <v>180</v>
      </c>
      <c r="J3179" t="s">
        <v>165</v>
      </c>
      <c r="K3179">
        <v>34</v>
      </c>
      <c r="M3179">
        <f t="shared" si="1213"/>
        <v>102</v>
      </c>
      <c r="N3179">
        <f t="shared" si="1214"/>
        <v>78</v>
      </c>
    </row>
    <row r="3180" spans="1:14" x14ac:dyDescent="0.25">
      <c r="A3180">
        <v>298</v>
      </c>
      <c r="B3180" s="1">
        <v>44095</v>
      </c>
      <c r="C3180" t="str">
        <f t="shared" si="1211"/>
        <v>septiembre</v>
      </c>
      <c r="D3180" t="s">
        <v>15</v>
      </c>
      <c r="F3180" t="s">
        <v>31</v>
      </c>
      <c r="G3180">
        <v>13.5</v>
      </c>
      <c r="H3180">
        <v>280</v>
      </c>
      <c r="I3180">
        <f t="shared" si="1212"/>
        <v>3780</v>
      </c>
      <c r="J3180" t="s">
        <v>163</v>
      </c>
      <c r="K3180">
        <v>243</v>
      </c>
      <c r="M3180">
        <f t="shared" si="1213"/>
        <v>3280.5</v>
      </c>
      <c r="N3180">
        <f t="shared" si="1214"/>
        <v>499.5</v>
      </c>
    </row>
    <row r="3181" spans="1:14" x14ac:dyDescent="0.25">
      <c r="A3181">
        <v>299</v>
      </c>
      <c r="B3181" s="1">
        <v>44095</v>
      </c>
      <c r="C3181" t="str">
        <f t="shared" si="1211"/>
        <v>septiembre</v>
      </c>
      <c r="D3181" t="s">
        <v>25</v>
      </c>
      <c r="F3181" t="s">
        <v>58</v>
      </c>
      <c r="G3181">
        <v>3</v>
      </c>
      <c r="H3181">
        <v>60</v>
      </c>
      <c r="I3181">
        <f t="shared" si="1212"/>
        <v>180</v>
      </c>
      <c r="J3181" t="s">
        <v>165</v>
      </c>
      <c r="K3181">
        <v>34</v>
      </c>
      <c r="M3181">
        <f t="shared" si="1213"/>
        <v>102</v>
      </c>
      <c r="N3181">
        <f t="shared" si="1214"/>
        <v>78</v>
      </c>
    </row>
    <row r="3182" spans="1:14" x14ac:dyDescent="0.25">
      <c r="A3182">
        <v>300</v>
      </c>
      <c r="B3182" s="1">
        <v>44095</v>
      </c>
      <c r="C3182" t="str">
        <f t="shared" si="1211"/>
        <v>septiembre</v>
      </c>
      <c r="D3182" t="s">
        <v>15</v>
      </c>
      <c r="F3182" t="s">
        <v>29</v>
      </c>
      <c r="G3182">
        <v>11</v>
      </c>
      <c r="H3182">
        <v>240</v>
      </c>
      <c r="I3182">
        <f t="shared" si="1212"/>
        <v>2640</v>
      </c>
      <c r="J3182" t="s">
        <v>163</v>
      </c>
      <c r="K3182">
        <v>211</v>
      </c>
      <c r="M3182">
        <f t="shared" si="1213"/>
        <v>2321</v>
      </c>
      <c r="N3182">
        <f t="shared" si="1214"/>
        <v>319</v>
      </c>
    </row>
    <row r="3183" spans="1:14" x14ac:dyDescent="0.25">
      <c r="A3183">
        <v>301</v>
      </c>
      <c r="B3183" s="1">
        <v>44095</v>
      </c>
      <c r="C3183" t="str">
        <f t="shared" si="1211"/>
        <v>septiembre</v>
      </c>
      <c r="D3183" t="s">
        <v>15</v>
      </c>
      <c r="F3183" t="s">
        <v>414</v>
      </c>
      <c r="G3183">
        <v>1</v>
      </c>
      <c r="H3183">
        <v>300</v>
      </c>
      <c r="I3183">
        <f t="shared" si="1212"/>
        <v>300</v>
      </c>
      <c r="J3183" t="s">
        <v>167</v>
      </c>
      <c r="K3183">
        <v>268</v>
      </c>
      <c r="M3183">
        <f t="shared" si="1213"/>
        <v>268</v>
      </c>
      <c r="N3183">
        <f t="shared" si="1214"/>
        <v>32</v>
      </c>
    </row>
    <row r="3184" spans="1:14" x14ac:dyDescent="0.25">
      <c r="A3184">
        <v>302</v>
      </c>
      <c r="B3184" s="1">
        <v>44095</v>
      </c>
      <c r="C3184" t="str">
        <f t="shared" si="1211"/>
        <v>septiembre</v>
      </c>
      <c r="D3184" t="s">
        <v>15</v>
      </c>
      <c r="F3184" t="s">
        <v>153</v>
      </c>
      <c r="G3184">
        <f>4/9</f>
        <v>0.44444444444444442</v>
      </c>
      <c r="H3184">
        <v>290</v>
      </c>
      <c r="I3184">
        <f t="shared" si="1212"/>
        <v>128.88888888888889</v>
      </c>
      <c r="J3184" t="s">
        <v>163</v>
      </c>
      <c r="K3184">
        <v>248</v>
      </c>
      <c r="M3184">
        <f t="shared" si="1213"/>
        <v>110.22222222222221</v>
      </c>
      <c r="N3184">
        <f t="shared" si="1214"/>
        <v>18.666666666666671</v>
      </c>
    </row>
    <row r="3185" spans="1:14" x14ac:dyDescent="0.25">
      <c r="A3185">
        <v>303</v>
      </c>
      <c r="B3185" s="1">
        <v>44095</v>
      </c>
      <c r="C3185" t="str">
        <f t="shared" si="1211"/>
        <v>septiembre</v>
      </c>
      <c r="D3185" t="s">
        <v>15</v>
      </c>
      <c r="F3185" t="s">
        <v>63</v>
      </c>
      <c r="G3185">
        <f>4/9</f>
        <v>0.44444444444444442</v>
      </c>
      <c r="H3185">
        <v>290</v>
      </c>
      <c r="I3185">
        <f t="shared" si="1212"/>
        <v>128.88888888888889</v>
      </c>
      <c r="J3185" t="s">
        <v>163</v>
      </c>
      <c r="K3185">
        <v>248</v>
      </c>
      <c r="M3185">
        <f t="shared" si="1213"/>
        <v>110.22222222222221</v>
      </c>
      <c r="N3185">
        <f t="shared" si="1214"/>
        <v>18.666666666666671</v>
      </c>
    </row>
    <row r="3186" spans="1:14" x14ac:dyDescent="0.25">
      <c r="A3186">
        <v>304</v>
      </c>
      <c r="B3186" s="1">
        <v>44095</v>
      </c>
      <c r="C3186" t="str">
        <f t="shared" si="1211"/>
        <v>septiembre</v>
      </c>
      <c r="D3186" t="s">
        <v>56</v>
      </c>
      <c r="F3186" t="s">
        <v>236</v>
      </c>
      <c r="G3186">
        <v>1</v>
      </c>
      <c r="H3186">
        <v>120</v>
      </c>
      <c r="I3186">
        <f t="shared" si="1212"/>
        <v>120</v>
      </c>
      <c r="J3186" t="s">
        <v>165</v>
      </c>
      <c r="K3186">
        <v>83</v>
      </c>
      <c r="M3186">
        <f t="shared" si="1213"/>
        <v>83</v>
      </c>
      <c r="N3186">
        <f t="shared" si="1214"/>
        <v>37</v>
      </c>
    </row>
    <row r="3187" spans="1:14" x14ac:dyDescent="0.25">
      <c r="A3187">
        <v>305</v>
      </c>
      <c r="B3187" s="1">
        <v>44095</v>
      </c>
      <c r="C3187" t="str">
        <f t="shared" si="1211"/>
        <v>septiembre</v>
      </c>
      <c r="D3187" t="s">
        <v>15</v>
      </c>
      <c r="F3187" t="s">
        <v>414</v>
      </c>
      <c r="G3187">
        <v>2</v>
      </c>
      <c r="H3187">
        <v>300</v>
      </c>
      <c r="I3187">
        <f t="shared" si="1212"/>
        <v>600</v>
      </c>
      <c r="J3187" t="s">
        <v>167</v>
      </c>
      <c r="K3187">
        <v>268</v>
      </c>
      <c r="M3187">
        <f t="shared" si="1213"/>
        <v>536</v>
      </c>
      <c r="N3187">
        <f t="shared" si="1214"/>
        <v>64</v>
      </c>
    </row>
    <row r="3188" spans="1:14" x14ac:dyDescent="0.25">
      <c r="A3188">
        <v>306</v>
      </c>
      <c r="B3188" s="1">
        <v>44095</v>
      </c>
      <c r="C3188" t="str">
        <f t="shared" si="1211"/>
        <v>septiembre</v>
      </c>
      <c r="D3188" t="s">
        <v>205</v>
      </c>
      <c r="F3188" t="s">
        <v>369</v>
      </c>
      <c r="G3188">
        <v>4</v>
      </c>
      <c r="H3188">
        <f>14*34.8</f>
        <v>487.19999999999993</v>
      </c>
      <c r="I3188">
        <f t="shared" si="1212"/>
        <v>1948.7999999999997</v>
      </c>
      <c r="J3188" t="s">
        <v>167</v>
      </c>
      <c r="K3188">
        <v>396</v>
      </c>
      <c r="M3188">
        <f t="shared" si="1213"/>
        <v>1584</v>
      </c>
      <c r="N3188">
        <f t="shared" si="1214"/>
        <v>364.79999999999973</v>
      </c>
    </row>
    <row r="3189" spans="1:14" x14ac:dyDescent="0.25">
      <c r="A3189">
        <v>307</v>
      </c>
      <c r="B3189" s="1">
        <v>44095</v>
      </c>
      <c r="C3189" t="str">
        <f t="shared" si="1211"/>
        <v>septiembre</v>
      </c>
      <c r="D3189" t="s">
        <v>205</v>
      </c>
      <c r="F3189" t="s">
        <v>492</v>
      </c>
      <c r="G3189">
        <v>4</v>
      </c>
      <c r="H3189">
        <f>12*34.8</f>
        <v>417.59999999999997</v>
      </c>
      <c r="I3189">
        <f t="shared" si="1212"/>
        <v>1670.3999999999999</v>
      </c>
      <c r="J3189" t="s">
        <v>167</v>
      </c>
      <c r="K3189">
        <v>345</v>
      </c>
      <c r="M3189">
        <f t="shared" si="1213"/>
        <v>1380</v>
      </c>
      <c r="N3189">
        <f t="shared" si="1214"/>
        <v>290.39999999999986</v>
      </c>
    </row>
    <row r="3190" spans="1:14" x14ac:dyDescent="0.25">
      <c r="A3190">
        <v>308</v>
      </c>
      <c r="B3190" s="1">
        <v>44095</v>
      </c>
      <c r="C3190" t="str">
        <f t="shared" si="1211"/>
        <v>septiembre</v>
      </c>
      <c r="D3190" t="s">
        <v>55</v>
      </c>
      <c r="F3190" t="s">
        <v>430</v>
      </c>
      <c r="G3190">
        <v>4</v>
      </c>
      <c r="H3190">
        <v>300</v>
      </c>
      <c r="I3190">
        <f t="shared" si="1212"/>
        <v>1200</v>
      </c>
      <c r="J3190" t="s">
        <v>167</v>
      </c>
      <c r="K3190">
        <v>268</v>
      </c>
      <c r="M3190">
        <f t="shared" si="1213"/>
        <v>1072</v>
      </c>
      <c r="N3190">
        <f t="shared" si="1214"/>
        <v>128</v>
      </c>
    </row>
    <row r="3191" spans="1:14" x14ac:dyDescent="0.25">
      <c r="A3191">
        <v>309</v>
      </c>
      <c r="B3191" s="1">
        <v>44095</v>
      </c>
      <c r="C3191" t="str">
        <f t="shared" si="1211"/>
        <v>septiembre</v>
      </c>
      <c r="D3191" t="s">
        <v>25</v>
      </c>
      <c r="F3191" t="s">
        <v>137</v>
      </c>
      <c r="G3191">
        <v>2</v>
      </c>
      <c r="H3191">
        <v>60</v>
      </c>
      <c r="I3191">
        <f t="shared" si="1212"/>
        <v>120</v>
      </c>
      <c r="J3191" t="s">
        <v>165</v>
      </c>
      <c r="K3191">
        <v>34</v>
      </c>
      <c r="M3191">
        <f t="shared" si="1213"/>
        <v>68</v>
      </c>
      <c r="N3191">
        <f t="shared" si="1214"/>
        <v>52</v>
      </c>
    </row>
    <row r="3192" spans="1:14" x14ac:dyDescent="0.25">
      <c r="A3192">
        <v>310</v>
      </c>
      <c r="B3192" s="1">
        <v>44095</v>
      </c>
      <c r="C3192" t="str">
        <f t="shared" si="1211"/>
        <v>septiembre</v>
      </c>
      <c r="D3192" t="s">
        <v>70</v>
      </c>
      <c r="F3192" t="s">
        <v>227</v>
      </c>
      <c r="G3192">
        <v>1</v>
      </c>
      <c r="H3192">
        <v>1650</v>
      </c>
      <c r="I3192">
        <f t="shared" si="1212"/>
        <v>1650</v>
      </c>
      <c r="J3192" t="s">
        <v>167</v>
      </c>
      <c r="K3192">
        <v>1440</v>
      </c>
      <c r="M3192">
        <f t="shared" si="1213"/>
        <v>1440</v>
      </c>
      <c r="N3192">
        <f t="shared" si="1214"/>
        <v>210</v>
      </c>
    </row>
    <row r="3193" spans="1:14" x14ac:dyDescent="0.25">
      <c r="A3193">
        <v>311</v>
      </c>
      <c r="B3193" s="1">
        <v>44095</v>
      </c>
      <c r="C3193" t="str">
        <f t="shared" si="1211"/>
        <v>septiembre</v>
      </c>
      <c r="D3193" t="s">
        <v>85</v>
      </c>
      <c r="F3193" t="s">
        <v>216</v>
      </c>
      <c r="G3193">
        <v>1</v>
      </c>
      <c r="H3193">
        <v>900</v>
      </c>
      <c r="I3193">
        <f t="shared" si="1212"/>
        <v>900</v>
      </c>
      <c r="J3193" t="s">
        <v>167</v>
      </c>
      <c r="K3193">
        <v>480</v>
      </c>
      <c r="M3193">
        <f t="shared" si="1213"/>
        <v>480</v>
      </c>
      <c r="N3193">
        <f t="shared" si="1214"/>
        <v>420</v>
      </c>
    </row>
    <row r="3194" spans="1:14" x14ac:dyDescent="0.25">
      <c r="A3194">
        <v>312</v>
      </c>
      <c r="B3194" s="1">
        <v>44095</v>
      </c>
      <c r="C3194" t="str">
        <f t="shared" si="1211"/>
        <v>septiembre</v>
      </c>
      <c r="D3194" t="s">
        <v>85</v>
      </c>
      <c r="F3194" t="s">
        <v>266</v>
      </c>
      <c r="G3194">
        <v>1</v>
      </c>
      <c r="H3194">
        <v>250</v>
      </c>
      <c r="I3194">
        <f>+G3194*H3194</f>
        <v>250</v>
      </c>
      <c r="J3194" t="s">
        <v>166</v>
      </c>
      <c r="K3194">
        <v>170</v>
      </c>
      <c r="M3194">
        <f t="shared" si="1213"/>
        <v>170</v>
      </c>
      <c r="N3194">
        <f t="shared" si="1214"/>
        <v>80</v>
      </c>
    </row>
    <row r="3195" spans="1:14" x14ac:dyDescent="0.25">
      <c r="A3195">
        <v>313</v>
      </c>
      <c r="B3195" s="1">
        <v>44096</v>
      </c>
      <c r="C3195" t="str">
        <f t="shared" si="1211"/>
        <v>septiembre</v>
      </c>
      <c r="D3195" t="s">
        <v>70</v>
      </c>
      <c r="F3195" t="s">
        <v>227</v>
      </c>
      <c r="G3195">
        <v>1</v>
      </c>
      <c r="H3195">
        <v>1650</v>
      </c>
      <c r="I3195">
        <f t="shared" ref="I3195:I3196" si="1215">+G3195*H3195</f>
        <v>1650</v>
      </c>
      <c r="J3195" t="s">
        <v>167</v>
      </c>
      <c r="K3195">
        <v>1440</v>
      </c>
      <c r="M3195">
        <f t="shared" si="1213"/>
        <v>1440</v>
      </c>
      <c r="N3195">
        <f t="shared" si="1214"/>
        <v>210</v>
      </c>
    </row>
    <row r="3196" spans="1:14" x14ac:dyDescent="0.25">
      <c r="A3196">
        <v>314</v>
      </c>
      <c r="B3196" s="1">
        <v>44096</v>
      </c>
      <c r="C3196" t="str">
        <f t="shared" si="1211"/>
        <v>septiembre</v>
      </c>
      <c r="D3196" t="s">
        <v>85</v>
      </c>
      <c r="F3196" t="s">
        <v>216</v>
      </c>
      <c r="G3196">
        <v>1</v>
      </c>
      <c r="H3196">
        <v>900</v>
      </c>
      <c r="I3196">
        <f t="shared" si="1215"/>
        <v>900</v>
      </c>
      <c r="J3196" t="s">
        <v>167</v>
      </c>
      <c r="K3196">
        <v>480</v>
      </c>
      <c r="M3196">
        <f t="shared" si="1213"/>
        <v>480</v>
      </c>
      <c r="N3196">
        <f t="shared" si="1214"/>
        <v>420</v>
      </c>
    </row>
    <row r="3197" spans="1:14" x14ac:dyDescent="0.25">
      <c r="A3197">
        <v>315</v>
      </c>
      <c r="B3197" s="1">
        <v>44096</v>
      </c>
      <c r="C3197" t="str">
        <f t="shared" si="1211"/>
        <v>septiembre</v>
      </c>
      <c r="D3197" t="s">
        <v>85</v>
      </c>
      <c r="F3197" t="s">
        <v>266</v>
      </c>
      <c r="G3197">
        <v>1</v>
      </c>
      <c r="H3197">
        <v>250</v>
      </c>
      <c r="I3197">
        <f>+G3197*H3197</f>
        <v>250</v>
      </c>
      <c r="J3197" t="s">
        <v>166</v>
      </c>
      <c r="K3197">
        <v>170</v>
      </c>
      <c r="M3197">
        <f t="shared" si="1213"/>
        <v>170</v>
      </c>
      <c r="N3197">
        <f t="shared" si="1214"/>
        <v>80</v>
      </c>
    </row>
    <row r="3198" spans="1:14" x14ac:dyDescent="0.25">
      <c r="A3198">
        <v>316</v>
      </c>
      <c r="B3198" s="1">
        <v>44096</v>
      </c>
      <c r="C3198" t="str">
        <f t="shared" si="1211"/>
        <v>septiembre</v>
      </c>
      <c r="D3198" t="s">
        <v>55</v>
      </c>
      <c r="F3198" t="s">
        <v>247</v>
      </c>
      <c r="G3198">
        <f>7/17</f>
        <v>0.41176470588235292</v>
      </c>
      <c r="H3198">
        <v>300</v>
      </c>
      <c r="I3198">
        <f t="shared" ref="I3198:I3262" si="1216">+G3198*H3198</f>
        <v>123.52941176470587</v>
      </c>
      <c r="J3198" t="s">
        <v>167</v>
      </c>
      <c r="K3198">
        <v>268</v>
      </c>
      <c r="M3198">
        <f t="shared" si="1213"/>
        <v>110.35294117647058</v>
      </c>
      <c r="N3198">
        <f t="shared" si="1214"/>
        <v>13.17647058823529</v>
      </c>
    </row>
    <row r="3199" spans="1:14" x14ac:dyDescent="0.25">
      <c r="A3199">
        <v>317</v>
      </c>
      <c r="B3199" s="1">
        <v>44096</v>
      </c>
      <c r="C3199" t="str">
        <f t="shared" si="1211"/>
        <v>septiembre</v>
      </c>
      <c r="D3199" t="s">
        <v>15</v>
      </c>
      <c r="F3199" t="s">
        <v>346</v>
      </c>
      <c r="G3199">
        <v>5.5</v>
      </c>
      <c r="H3199">
        <v>250</v>
      </c>
      <c r="I3199">
        <f t="shared" si="1216"/>
        <v>1375</v>
      </c>
      <c r="J3199" t="s">
        <v>167</v>
      </c>
      <c r="K3199">
        <v>210</v>
      </c>
      <c r="M3199">
        <f t="shared" si="1213"/>
        <v>1155</v>
      </c>
      <c r="N3199">
        <f t="shared" si="1214"/>
        <v>220</v>
      </c>
    </row>
    <row r="3200" spans="1:14" x14ac:dyDescent="0.25">
      <c r="A3200">
        <v>318</v>
      </c>
      <c r="B3200" s="1">
        <v>44096</v>
      </c>
      <c r="C3200" t="str">
        <f t="shared" si="1211"/>
        <v>septiembre</v>
      </c>
      <c r="D3200" t="s">
        <v>56</v>
      </c>
      <c r="F3200" t="s">
        <v>267</v>
      </c>
      <c r="G3200">
        <v>2</v>
      </c>
      <c r="H3200">
        <v>170</v>
      </c>
      <c r="I3200">
        <f t="shared" si="1216"/>
        <v>340</v>
      </c>
      <c r="J3200" t="s">
        <v>163</v>
      </c>
      <c r="K3200">
        <v>130</v>
      </c>
      <c r="M3200">
        <f t="shared" si="1213"/>
        <v>260</v>
      </c>
      <c r="N3200">
        <f t="shared" si="1214"/>
        <v>80</v>
      </c>
    </row>
    <row r="3201" spans="1:14" x14ac:dyDescent="0.25">
      <c r="A3201">
        <v>319</v>
      </c>
      <c r="B3201" s="1">
        <v>44096</v>
      </c>
      <c r="C3201" t="str">
        <f t="shared" si="1211"/>
        <v>septiembre</v>
      </c>
      <c r="D3201" t="s">
        <v>44</v>
      </c>
      <c r="F3201" t="s">
        <v>138</v>
      </c>
      <c r="G3201">
        <v>1</v>
      </c>
      <c r="H3201">
        <v>35</v>
      </c>
      <c r="I3201">
        <f t="shared" si="1216"/>
        <v>35</v>
      </c>
      <c r="J3201" t="s">
        <v>198</v>
      </c>
      <c r="K3201">
        <v>26</v>
      </c>
      <c r="M3201">
        <f t="shared" si="1213"/>
        <v>26</v>
      </c>
      <c r="N3201">
        <f t="shared" si="1214"/>
        <v>9</v>
      </c>
    </row>
    <row r="3202" spans="1:14" x14ac:dyDescent="0.25">
      <c r="A3202">
        <v>320</v>
      </c>
      <c r="B3202" s="1">
        <v>44096</v>
      </c>
      <c r="C3202" t="str">
        <f t="shared" si="1211"/>
        <v>septiembre</v>
      </c>
      <c r="D3202" t="s">
        <v>24</v>
      </c>
      <c r="F3202" t="s">
        <v>24</v>
      </c>
      <c r="G3202">
        <v>1.6</v>
      </c>
      <c r="H3202">
        <v>100</v>
      </c>
      <c r="I3202">
        <f t="shared" si="1216"/>
        <v>160</v>
      </c>
      <c r="J3202" t="s">
        <v>186</v>
      </c>
      <c r="K3202">
        <v>80</v>
      </c>
      <c r="M3202">
        <f t="shared" si="1213"/>
        <v>128</v>
      </c>
      <c r="N3202">
        <f t="shared" si="1214"/>
        <v>32</v>
      </c>
    </row>
    <row r="3203" spans="1:14" x14ac:dyDescent="0.25">
      <c r="A3203">
        <v>321</v>
      </c>
      <c r="B3203" s="1">
        <v>44096</v>
      </c>
      <c r="C3203" t="str">
        <f t="shared" si="1211"/>
        <v>septiembre</v>
      </c>
      <c r="D3203" t="s">
        <v>15</v>
      </c>
      <c r="F3203" t="s">
        <v>153</v>
      </c>
      <c r="G3203">
        <v>4</v>
      </c>
      <c r="H3203">
        <v>290</v>
      </c>
      <c r="I3203">
        <f t="shared" si="1216"/>
        <v>1160</v>
      </c>
      <c r="J3203" t="s">
        <v>163</v>
      </c>
      <c r="K3203">
        <v>260</v>
      </c>
      <c r="M3203">
        <f t="shared" si="1213"/>
        <v>1040</v>
      </c>
      <c r="N3203">
        <f t="shared" si="1214"/>
        <v>120</v>
      </c>
    </row>
    <row r="3204" spans="1:14" x14ac:dyDescent="0.25">
      <c r="A3204">
        <v>322</v>
      </c>
      <c r="B3204" s="1">
        <v>44096</v>
      </c>
      <c r="C3204" t="str">
        <f t="shared" si="1211"/>
        <v>septiembre</v>
      </c>
      <c r="D3204" t="s">
        <v>85</v>
      </c>
      <c r="F3204" t="s">
        <v>41</v>
      </c>
      <c r="G3204">
        <v>1</v>
      </c>
      <c r="H3204">
        <v>180</v>
      </c>
      <c r="I3204">
        <f t="shared" si="1216"/>
        <v>180</v>
      </c>
      <c r="J3204" t="s">
        <v>166</v>
      </c>
      <c r="K3204">
        <v>120</v>
      </c>
      <c r="M3204">
        <f t="shared" si="1213"/>
        <v>120</v>
      </c>
      <c r="N3204">
        <f t="shared" si="1214"/>
        <v>60</v>
      </c>
    </row>
    <row r="3205" spans="1:14" x14ac:dyDescent="0.25">
      <c r="A3205">
        <v>323</v>
      </c>
      <c r="B3205" s="1">
        <v>44096</v>
      </c>
      <c r="C3205" t="str">
        <f t="shared" si="1211"/>
        <v>septiembre</v>
      </c>
      <c r="D3205" t="s">
        <v>24</v>
      </c>
      <c r="F3205" t="s">
        <v>24</v>
      </c>
      <c r="G3205">
        <v>3.2</v>
      </c>
      <c r="H3205">
        <v>100</v>
      </c>
      <c r="I3205">
        <f t="shared" si="1216"/>
        <v>320</v>
      </c>
      <c r="J3205" t="s">
        <v>186</v>
      </c>
      <c r="K3205">
        <v>80</v>
      </c>
      <c r="M3205">
        <f t="shared" si="1213"/>
        <v>256</v>
      </c>
      <c r="N3205">
        <f t="shared" si="1214"/>
        <v>64</v>
      </c>
    </row>
    <row r="3206" spans="1:14" x14ac:dyDescent="0.25">
      <c r="A3206">
        <v>324</v>
      </c>
      <c r="B3206" s="1">
        <v>44096</v>
      </c>
      <c r="C3206" t="str">
        <f t="shared" si="1211"/>
        <v>septiembre</v>
      </c>
      <c r="D3206" t="s">
        <v>15</v>
      </c>
      <c r="F3206" t="s">
        <v>493</v>
      </c>
      <c r="G3206">
        <v>2</v>
      </c>
      <c r="H3206">
        <v>295</v>
      </c>
      <c r="I3206">
        <f t="shared" si="1216"/>
        <v>590</v>
      </c>
      <c r="J3206" t="s">
        <v>167</v>
      </c>
      <c r="K3206">
        <v>268</v>
      </c>
      <c r="M3206">
        <f t="shared" si="1213"/>
        <v>536</v>
      </c>
      <c r="N3206">
        <f t="shared" si="1214"/>
        <v>54</v>
      </c>
    </row>
    <row r="3207" spans="1:14" x14ac:dyDescent="0.25">
      <c r="A3207">
        <v>325</v>
      </c>
      <c r="B3207" s="1">
        <v>44096</v>
      </c>
      <c r="C3207" t="str">
        <f t="shared" si="1211"/>
        <v>septiembre</v>
      </c>
      <c r="D3207" t="s">
        <v>15</v>
      </c>
      <c r="F3207" t="s">
        <v>494</v>
      </c>
      <c r="G3207">
        <v>1.5</v>
      </c>
      <c r="H3207">
        <v>250</v>
      </c>
      <c r="I3207">
        <f t="shared" si="1216"/>
        <v>375</v>
      </c>
      <c r="J3207" t="s">
        <v>167</v>
      </c>
      <c r="K3207">
        <v>219</v>
      </c>
      <c r="M3207">
        <f t="shared" si="1213"/>
        <v>328.5</v>
      </c>
      <c r="N3207">
        <f t="shared" si="1214"/>
        <v>46.5</v>
      </c>
    </row>
    <row r="3208" spans="1:14" x14ac:dyDescent="0.25">
      <c r="A3208">
        <v>326</v>
      </c>
      <c r="B3208" s="1">
        <v>44096</v>
      </c>
      <c r="C3208" t="str">
        <f t="shared" si="1211"/>
        <v>septiembre</v>
      </c>
      <c r="D3208" t="s">
        <v>15</v>
      </c>
      <c r="F3208" t="s">
        <v>495</v>
      </c>
      <c r="G3208">
        <v>4</v>
      </c>
      <c r="H3208">
        <v>240</v>
      </c>
      <c r="I3208">
        <f t="shared" si="1216"/>
        <v>960</v>
      </c>
      <c r="J3208" t="s">
        <v>167</v>
      </c>
      <c r="K3208">
        <v>207</v>
      </c>
      <c r="M3208">
        <f t="shared" si="1213"/>
        <v>828</v>
      </c>
      <c r="N3208">
        <f t="shared" si="1214"/>
        <v>132</v>
      </c>
    </row>
    <row r="3209" spans="1:14" x14ac:dyDescent="0.25">
      <c r="A3209">
        <v>327</v>
      </c>
      <c r="B3209" s="1">
        <v>44096</v>
      </c>
      <c r="C3209" t="str">
        <f t="shared" si="1211"/>
        <v>septiembre</v>
      </c>
      <c r="D3209" t="s">
        <v>70</v>
      </c>
      <c r="F3209" t="s">
        <v>227</v>
      </c>
      <c r="G3209">
        <v>1</v>
      </c>
      <c r="H3209">
        <v>1650</v>
      </c>
      <c r="I3209">
        <f>+G3209*H3209</f>
        <v>1650</v>
      </c>
      <c r="J3209" t="s">
        <v>167</v>
      </c>
      <c r="K3209">
        <v>1440</v>
      </c>
      <c r="M3209">
        <f t="shared" si="1213"/>
        <v>1440</v>
      </c>
      <c r="N3209">
        <f t="shared" si="1214"/>
        <v>210</v>
      </c>
    </row>
    <row r="3210" spans="1:14" x14ac:dyDescent="0.25">
      <c r="A3210">
        <v>328</v>
      </c>
      <c r="B3210" s="1">
        <v>44096</v>
      </c>
      <c r="C3210" t="str">
        <f t="shared" si="1211"/>
        <v>septiembre</v>
      </c>
      <c r="D3210" t="s">
        <v>85</v>
      </c>
      <c r="F3210" t="s">
        <v>216</v>
      </c>
      <c r="G3210">
        <v>1</v>
      </c>
      <c r="H3210">
        <v>900</v>
      </c>
      <c r="I3210">
        <f t="shared" si="1216"/>
        <v>900</v>
      </c>
      <c r="J3210" t="s">
        <v>167</v>
      </c>
      <c r="K3210">
        <v>480</v>
      </c>
      <c r="M3210">
        <f t="shared" si="1213"/>
        <v>480</v>
      </c>
      <c r="N3210">
        <f t="shared" si="1214"/>
        <v>420</v>
      </c>
    </row>
    <row r="3211" spans="1:14" x14ac:dyDescent="0.25">
      <c r="A3211">
        <v>329</v>
      </c>
      <c r="B3211" s="1">
        <v>44096</v>
      </c>
      <c r="C3211" t="str">
        <f t="shared" si="1211"/>
        <v>septiembre</v>
      </c>
      <c r="D3211" t="s">
        <v>85</v>
      </c>
      <c r="F3211" t="s">
        <v>266</v>
      </c>
      <c r="G3211">
        <v>1</v>
      </c>
      <c r="H3211">
        <v>250</v>
      </c>
      <c r="I3211">
        <f t="shared" si="1216"/>
        <v>250</v>
      </c>
      <c r="J3211" t="s">
        <v>166</v>
      </c>
      <c r="K3211">
        <v>170</v>
      </c>
      <c r="M3211">
        <f t="shared" si="1213"/>
        <v>170</v>
      </c>
      <c r="N3211">
        <f t="shared" si="1214"/>
        <v>80</v>
      </c>
    </row>
    <row r="3212" spans="1:14" x14ac:dyDescent="0.25">
      <c r="A3212">
        <v>330</v>
      </c>
      <c r="B3212" s="1">
        <v>44096</v>
      </c>
      <c r="C3212" t="str">
        <f t="shared" si="1211"/>
        <v>septiembre</v>
      </c>
      <c r="D3212" t="s">
        <v>55</v>
      </c>
      <c r="F3212" t="s">
        <v>418</v>
      </c>
      <c r="G3212">
        <v>12</v>
      </c>
      <c r="H3212">
        <v>295</v>
      </c>
      <c r="I3212">
        <f>+G3212*H3212</f>
        <v>3540</v>
      </c>
      <c r="J3212" t="s">
        <v>167</v>
      </c>
      <c r="K3212">
        <v>268</v>
      </c>
      <c r="M3212">
        <f t="shared" si="1213"/>
        <v>3216</v>
      </c>
      <c r="N3212">
        <f t="shared" si="1214"/>
        <v>324</v>
      </c>
    </row>
    <row r="3213" spans="1:14" x14ac:dyDescent="0.25">
      <c r="A3213">
        <v>331</v>
      </c>
      <c r="B3213" s="1">
        <v>44096</v>
      </c>
      <c r="C3213" t="str">
        <f t="shared" si="1211"/>
        <v>septiembre</v>
      </c>
      <c r="D3213" t="s">
        <v>25</v>
      </c>
      <c r="F3213" t="s">
        <v>128</v>
      </c>
      <c r="G3213">
        <v>3</v>
      </c>
      <c r="H3213">
        <v>60</v>
      </c>
      <c r="I3213">
        <f t="shared" si="1216"/>
        <v>180</v>
      </c>
      <c r="J3213" t="s">
        <v>165</v>
      </c>
      <c r="K3213">
        <v>34</v>
      </c>
      <c r="M3213">
        <f t="shared" si="1213"/>
        <v>102</v>
      </c>
      <c r="N3213">
        <f t="shared" si="1214"/>
        <v>78</v>
      </c>
    </row>
    <row r="3214" spans="1:14" x14ac:dyDescent="0.25">
      <c r="A3214">
        <v>332</v>
      </c>
      <c r="B3214" s="1">
        <v>44096</v>
      </c>
      <c r="C3214" t="str">
        <f t="shared" si="1211"/>
        <v>septiembre</v>
      </c>
      <c r="D3214" t="s">
        <v>55</v>
      </c>
      <c r="F3214" t="s">
        <v>149</v>
      </c>
      <c r="G3214">
        <v>3</v>
      </c>
      <c r="H3214">
        <v>295</v>
      </c>
      <c r="I3214">
        <f t="shared" si="1216"/>
        <v>885</v>
      </c>
      <c r="J3214" t="s">
        <v>167</v>
      </c>
      <c r="K3214">
        <v>268</v>
      </c>
      <c r="M3214">
        <f t="shared" si="1213"/>
        <v>804</v>
      </c>
      <c r="N3214">
        <f t="shared" si="1214"/>
        <v>81</v>
      </c>
    </row>
    <row r="3215" spans="1:14" x14ac:dyDescent="0.25">
      <c r="A3215">
        <v>333</v>
      </c>
      <c r="B3215" s="1">
        <v>44096</v>
      </c>
      <c r="C3215" t="str">
        <f t="shared" si="1211"/>
        <v>septiembre</v>
      </c>
      <c r="D3215" t="s">
        <v>15</v>
      </c>
      <c r="F3215" t="s">
        <v>397</v>
      </c>
      <c r="G3215">
        <v>1</v>
      </c>
      <c r="H3215">
        <v>250</v>
      </c>
      <c r="I3215">
        <f t="shared" si="1216"/>
        <v>250</v>
      </c>
      <c r="J3215" t="s">
        <v>167</v>
      </c>
      <c r="K3215">
        <v>219</v>
      </c>
      <c r="M3215">
        <f t="shared" si="1213"/>
        <v>219</v>
      </c>
      <c r="N3215">
        <f t="shared" si="1214"/>
        <v>31</v>
      </c>
    </row>
    <row r="3216" spans="1:14" x14ac:dyDescent="0.25">
      <c r="A3216">
        <v>334</v>
      </c>
      <c r="B3216" s="1">
        <v>44096</v>
      </c>
      <c r="C3216" t="str">
        <f t="shared" si="1211"/>
        <v>septiembre</v>
      </c>
      <c r="D3216" t="s">
        <v>56</v>
      </c>
      <c r="F3216" t="s">
        <v>267</v>
      </c>
      <c r="G3216">
        <v>1</v>
      </c>
      <c r="H3216">
        <v>170</v>
      </c>
      <c r="I3216">
        <f t="shared" si="1216"/>
        <v>170</v>
      </c>
      <c r="J3216" t="s">
        <v>163</v>
      </c>
      <c r="K3216">
        <v>130</v>
      </c>
      <c r="M3216">
        <f t="shared" si="1213"/>
        <v>130</v>
      </c>
      <c r="N3216">
        <f t="shared" si="1214"/>
        <v>40</v>
      </c>
    </row>
    <row r="3217" spans="1:14" x14ac:dyDescent="0.25">
      <c r="A3217">
        <v>335</v>
      </c>
      <c r="B3217" s="1">
        <v>44096</v>
      </c>
      <c r="C3217" t="str">
        <f t="shared" si="1211"/>
        <v>septiembre</v>
      </c>
      <c r="D3217" t="s">
        <v>25</v>
      </c>
      <c r="F3217" t="s">
        <v>148</v>
      </c>
      <c r="G3217">
        <v>2</v>
      </c>
      <c r="H3217">
        <v>60</v>
      </c>
      <c r="I3217">
        <f t="shared" si="1216"/>
        <v>120</v>
      </c>
      <c r="J3217" t="s">
        <v>165</v>
      </c>
      <c r="K3217">
        <v>34</v>
      </c>
      <c r="M3217">
        <f t="shared" si="1213"/>
        <v>68</v>
      </c>
      <c r="N3217">
        <f t="shared" si="1214"/>
        <v>52</v>
      </c>
    </row>
    <row r="3218" spans="1:14" x14ac:dyDescent="0.25">
      <c r="A3218">
        <v>336</v>
      </c>
      <c r="B3218" s="1">
        <v>44097</v>
      </c>
      <c r="C3218" t="str">
        <f t="shared" si="1211"/>
        <v>septiembre</v>
      </c>
      <c r="D3218" t="s">
        <v>24</v>
      </c>
      <c r="F3218" t="s">
        <v>24</v>
      </c>
      <c r="G3218">
        <v>2</v>
      </c>
      <c r="H3218">
        <v>100</v>
      </c>
      <c r="I3218">
        <f t="shared" si="1216"/>
        <v>200</v>
      </c>
      <c r="J3218" t="s">
        <v>186</v>
      </c>
      <c r="K3218">
        <v>80</v>
      </c>
      <c r="M3218">
        <f t="shared" si="1213"/>
        <v>160</v>
      </c>
      <c r="N3218">
        <f t="shared" si="1214"/>
        <v>40</v>
      </c>
    </row>
    <row r="3219" spans="1:14" x14ac:dyDescent="0.25">
      <c r="A3219">
        <v>337</v>
      </c>
      <c r="B3219" s="1">
        <v>44097</v>
      </c>
      <c r="C3219" t="str">
        <f t="shared" si="1211"/>
        <v>septiembre</v>
      </c>
      <c r="D3219" t="s">
        <v>55</v>
      </c>
      <c r="F3219" t="s">
        <v>149</v>
      </c>
      <c r="G3219">
        <f>2/12</f>
        <v>0.16666666666666666</v>
      </c>
      <c r="H3219">
        <v>300</v>
      </c>
      <c r="I3219">
        <f t="shared" si="1216"/>
        <v>50</v>
      </c>
      <c r="J3219" t="s">
        <v>167</v>
      </c>
      <c r="K3219">
        <v>268</v>
      </c>
      <c r="M3219">
        <f t="shared" si="1213"/>
        <v>44.666666666666664</v>
      </c>
      <c r="N3219">
        <f t="shared" si="1214"/>
        <v>5.3333333333333357</v>
      </c>
    </row>
    <row r="3220" spans="1:14" x14ac:dyDescent="0.25">
      <c r="A3220">
        <v>338</v>
      </c>
      <c r="B3220" s="1">
        <v>44097</v>
      </c>
      <c r="C3220" t="str">
        <f t="shared" si="1211"/>
        <v>septiembre</v>
      </c>
      <c r="D3220" t="s">
        <v>55</v>
      </c>
      <c r="F3220" t="s">
        <v>22</v>
      </c>
      <c r="G3220">
        <v>4.5</v>
      </c>
      <c r="H3220">
        <v>300</v>
      </c>
      <c r="I3220">
        <f t="shared" si="1216"/>
        <v>1350</v>
      </c>
      <c r="J3220" t="s">
        <v>167</v>
      </c>
      <c r="K3220">
        <v>268</v>
      </c>
      <c r="M3220">
        <f t="shared" si="1213"/>
        <v>1206</v>
      </c>
      <c r="N3220">
        <f t="shared" si="1214"/>
        <v>144</v>
      </c>
    </row>
    <row r="3221" spans="1:14" x14ac:dyDescent="0.25">
      <c r="A3221">
        <v>339</v>
      </c>
      <c r="B3221" s="1">
        <v>44097</v>
      </c>
      <c r="C3221" t="str">
        <f t="shared" si="1211"/>
        <v>septiembre</v>
      </c>
      <c r="D3221" t="s">
        <v>55</v>
      </c>
      <c r="F3221" t="s">
        <v>423</v>
      </c>
      <c r="G3221">
        <v>0.5</v>
      </c>
      <c r="H3221">
        <v>270</v>
      </c>
      <c r="I3221">
        <f t="shared" si="1216"/>
        <v>135</v>
      </c>
      <c r="J3221" t="s">
        <v>167</v>
      </c>
      <c r="K3221">
        <v>207</v>
      </c>
      <c r="M3221">
        <f t="shared" si="1213"/>
        <v>103.5</v>
      </c>
      <c r="N3221">
        <f t="shared" si="1214"/>
        <v>31.5</v>
      </c>
    </row>
    <row r="3222" spans="1:14" x14ac:dyDescent="0.25">
      <c r="A3222">
        <v>340</v>
      </c>
      <c r="B3222" s="1">
        <v>44097</v>
      </c>
      <c r="C3222" t="str">
        <f t="shared" si="1211"/>
        <v>septiembre</v>
      </c>
      <c r="D3222" t="s">
        <v>56</v>
      </c>
      <c r="F3222" t="s">
        <v>267</v>
      </c>
      <c r="G3222">
        <v>1</v>
      </c>
      <c r="H3222">
        <v>170</v>
      </c>
      <c r="I3222">
        <f t="shared" si="1216"/>
        <v>170</v>
      </c>
      <c r="J3222" t="s">
        <v>163</v>
      </c>
      <c r="K3222">
        <v>130</v>
      </c>
      <c r="M3222">
        <f t="shared" si="1213"/>
        <v>130</v>
      </c>
      <c r="N3222">
        <f t="shared" si="1214"/>
        <v>40</v>
      </c>
    </row>
    <row r="3223" spans="1:14" x14ac:dyDescent="0.25">
      <c r="A3223">
        <v>341</v>
      </c>
      <c r="B3223" s="1">
        <v>44097</v>
      </c>
      <c r="C3223" t="str">
        <f t="shared" si="1211"/>
        <v>septiembre</v>
      </c>
      <c r="D3223" t="s">
        <v>15</v>
      </c>
      <c r="F3223" t="s">
        <v>20</v>
      </c>
      <c r="G3223">
        <v>1</v>
      </c>
      <c r="H3223">
        <v>270</v>
      </c>
      <c r="I3223">
        <f t="shared" si="1216"/>
        <v>270</v>
      </c>
      <c r="J3223" t="s">
        <v>163</v>
      </c>
      <c r="K3223">
        <v>207</v>
      </c>
      <c r="M3223">
        <f t="shared" si="1213"/>
        <v>207</v>
      </c>
      <c r="N3223">
        <f t="shared" si="1214"/>
        <v>63</v>
      </c>
    </row>
    <row r="3224" spans="1:14" x14ac:dyDescent="0.25">
      <c r="A3224">
        <v>342</v>
      </c>
      <c r="B3224" s="1">
        <v>44097</v>
      </c>
      <c r="C3224" t="str">
        <f t="shared" si="1211"/>
        <v>septiembre</v>
      </c>
      <c r="D3224" t="s">
        <v>15</v>
      </c>
      <c r="F3224" t="s">
        <v>17</v>
      </c>
      <c r="G3224">
        <v>2</v>
      </c>
      <c r="H3224">
        <v>360</v>
      </c>
      <c r="I3224">
        <f t="shared" si="1216"/>
        <v>720</v>
      </c>
      <c r="J3224" t="s">
        <v>13</v>
      </c>
      <c r="K3224">
        <v>335</v>
      </c>
      <c r="M3224">
        <f t="shared" si="1213"/>
        <v>670</v>
      </c>
      <c r="N3224">
        <f t="shared" si="1214"/>
        <v>50</v>
      </c>
    </row>
    <row r="3225" spans="1:14" x14ac:dyDescent="0.25">
      <c r="A3225">
        <v>343</v>
      </c>
      <c r="B3225" s="1">
        <v>44097</v>
      </c>
      <c r="C3225" t="str">
        <f t="shared" si="1211"/>
        <v>septiembre</v>
      </c>
      <c r="D3225" t="s">
        <v>70</v>
      </c>
      <c r="F3225" t="s">
        <v>290</v>
      </c>
      <c r="G3225">
        <v>1</v>
      </c>
      <c r="H3225">
        <v>400</v>
      </c>
      <c r="I3225">
        <f t="shared" si="1216"/>
        <v>400</v>
      </c>
      <c r="J3225" t="s">
        <v>167</v>
      </c>
      <c r="K3225">
        <v>311</v>
      </c>
      <c r="M3225">
        <f t="shared" si="1213"/>
        <v>311</v>
      </c>
      <c r="N3225">
        <f t="shared" si="1214"/>
        <v>89</v>
      </c>
    </row>
    <row r="3226" spans="1:14" x14ac:dyDescent="0.25">
      <c r="A3226">
        <v>344</v>
      </c>
      <c r="B3226" s="1">
        <v>44097</v>
      </c>
      <c r="C3226" t="str">
        <f t="shared" si="1211"/>
        <v>septiembre</v>
      </c>
      <c r="D3226" t="s">
        <v>55</v>
      </c>
      <c r="F3226" t="s">
        <v>108</v>
      </c>
      <c r="G3226">
        <v>1</v>
      </c>
      <c r="H3226">
        <v>300</v>
      </c>
      <c r="I3226">
        <f t="shared" si="1216"/>
        <v>300</v>
      </c>
      <c r="J3226" t="s">
        <v>167</v>
      </c>
      <c r="K3226">
        <v>268</v>
      </c>
      <c r="M3226">
        <f t="shared" si="1213"/>
        <v>268</v>
      </c>
      <c r="N3226">
        <f t="shared" si="1214"/>
        <v>32</v>
      </c>
    </row>
    <row r="3227" spans="1:14" x14ac:dyDescent="0.25">
      <c r="A3227">
        <v>345</v>
      </c>
      <c r="B3227" s="1">
        <v>44097</v>
      </c>
      <c r="C3227" t="str">
        <f t="shared" si="1211"/>
        <v>septiembre</v>
      </c>
      <c r="D3227" t="s">
        <v>56</v>
      </c>
      <c r="F3227" t="s">
        <v>267</v>
      </c>
      <c r="G3227">
        <v>1</v>
      </c>
      <c r="H3227">
        <v>170</v>
      </c>
      <c r="I3227">
        <f t="shared" si="1216"/>
        <v>170</v>
      </c>
      <c r="J3227" t="s">
        <v>163</v>
      </c>
      <c r="K3227">
        <v>130</v>
      </c>
      <c r="M3227">
        <f t="shared" si="1213"/>
        <v>130</v>
      </c>
      <c r="N3227">
        <f t="shared" si="1214"/>
        <v>40</v>
      </c>
    </row>
    <row r="3228" spans="1:14" x14ac:dyDescent="0.25">
      <c r="A3228">
        <v>346</v>
      </c>
      <c r="B3228" s="1">
        <v>44098</v>
      </c>
      <c r="C3228" t="str">
        <f t="shared" si="1211"/>
        <v>septiembre</v>
      </c>
      <c r="D3228" t="s">
        <v>15</v>
      </c>
      <c r="F3228" t="s">
        <v>20</v>
      </c>
      <c r="G3228">
        <v>3</v>
      </c>
      <c r="H3228">
        <v>270</v>
      </c>
      <c r="I3228">
        <f t="shared" si="1216"/>
        <v>810</v>
      </c>
      <c r="J3228" t="s">
        <v>163</v>
      </c>
      <c r="K3228">
        <v>232</v>
      </c>
      <c r="M3228">
        <f t="shared" si="1213"/>
        <v>696</v>
      </c>
      <c r="N3228">
        <f t="shared" si="1214"/>
        <v>114</v>
      </c>
    </row>
    <row r="3229" spans="1:14" x14ac:dyDescent="0.25">
      <c r="A3229">
        <v>347</v>
      </c>
      <c r="B3229" s="1">
        <v>44098</v>
      </c>
      <c r="C3229" t="str">
        <f t="shared" si="1211"/>
        <v>septiembre</v>
      </c>
      <c r="D3229" t="s">
        <v>75</v>
      </c>
      <c r="F3229" t="s">
        <v>443</v>
      </c>
      <c r="G3229">
        <v>6</v>
      </c>
      <c r="H3229">
        <v>45</v>
      </c>
      <c r="I3229">
        <f t="shared" si="1216"/>
        <v>270</v>
      </c>
      <c r="J3229" t="s">
        <v>163</v>
      </c>
      <c r="K3229">
        <v>31</v>
      </c>
      <c r="M3229">
        <f t="shared" si="1213"/>
        <v>186</v>
      </c>
      <c r="N3229">
        <f t="shared" si="1214"/>
        <v>84</v>
      </c>
    </row>
    <row r="3230" spans="1:14" x14ac:dyDescent="0.25">
      <c r="A3230">
        <v>348</v>
      </c>
      <c r="B3230" s="1">
        <v>44098</v>
      </c>
      <c r="C3230" t="str">
        <f t="shared" ref="C3230:C3293" si="1217">+TEXT(B3230,"mmmm")</f>
        <v>septiembre</v>
      </c>
      <c r="D3230" t="s">
        <v>15</v>
      </c>
      <c r="F3230" t="s">
        <v>481</v>
      </c>
      <c r="G3230">
        <v>2.15</v>
      </c>
      <c r="H3230">
        <v>250</v>
      </c>
      <c r="I3230">
        <f t="shared" si="1216"/>
        <v>537.5</v>
      </c>
      <c r="J3230" t="s">
        <v>163</v>
      </c>
      <c r="K3230">
        <v>220</v>
      </c>
      <c r="M3230">
        <f t="shared" si="1213"/>
        <v>473</v>
      </c>
      <c r="N3230">
        <f t="shared" si="1214"/>
        <v>64.5</v>
      </c>
    </row>
    <row r="3231" spans="1:14" x14ac:dyDescent="0.25">
      <c r="A3231">
        <v>349</v>
      </c>
      <c r="B3231" s="1">
        <v>44098</v>
      </c>
      <c r="C3231" t="str">
        <f t="shared" si="1217"/>
        <v>septiembre</v>
      </c>
      <c r="D3231" t="s">
        <v>56</v>
      </c>
      <c r="F3231" t="s">
        <v>236</v>
      </c>
      <c r="G3231">
        <v>1</v>
      </c>
      <c r="H3231">
        <v>120</v>
      </c>
      <c r="I3231">
        <f t="shared" si="1216"/>
        <v>120</v>
      </c>
      <c r="J3231" t="s">
        <v>165</v>
      </c>
      <c r="K3231">
        <v>83</v>
      </c>
      <c r="M3231">
        <f t="shared" si="1213"/>
        <v>83</v>
      </c>
      <c r="N3231">
        <f t="shared" si="1214"/>
        <v>37</v>
      </c>
    </row>
    <row r="3232" spans="1:14" x14ac:dyDescent="0.25">
      <c r="A3232">
        <v>350</v>
      </c>
      <c r="B3232" s="1">
        <v>44098</v>
      </c>
      <c r="C3232" t="str">
        <f t="shared" si="1217"/>
        <v>septiembre</v>
      </c>
      <c r="D3232" t="s">
        <v>25</v>
      </c>
      <c r="F3232" t="s">
        <v>127</v>
      </c>
      <c r="G3232">
        <v>2</v>
      </c>
      <c r="H3232">
        <v>60</v>
      </c>
      <c r="I3232">
        <f t="shared" si="1216"/>
        <v>120</v>
      </c>
      <c r="J3232" t="s">
        <v>165</v>
      </c>
      <c r="K3232">
        <v>34</v>
      </c>
      <c r="M3232">
        <f t="shared" si="1213"/>
        <v>68</v>
      </c>
      <c r="N3232">
        <f t="shared" si="1214"/>
        <v>52</v>
      </c>
    </row>
    <row r="3233" spans="1:14" x14ac:dyDescent="0.25">
      <c r="A3233">
        <v>351</v>
      </c>
      <c r="B3233" s="1">
        <v>44098</v>
      </c>
      <c r="C3233" t="str">
        <f t="shared" si="1217"/>
        <v>septiembre</v>
      </c>
      <c r="D3233" t="s">
        <v>15</v>
      </c>
      <c r="F3233" t="s">
        <v>401</v>
      </c>
      <c r="G3233">
        <v>3.33</v>
      </c>
      <c r="H3233">
        <v>300</v>
      </c>
      <c r="I3233">
        <f t="shared" si="1216"/>
        <v>999</v>
      </c>
      <c r="J3233" t="s">
        <v>167</v>
      </c>
      <c r="K3233">
        <v>268</v>
      </c>
      <c r="M3233">
        <f t="shared" si="1213"/>
        <v>892.44</v>
      </c>
      <c r="N3233">
        <f t="shared" si="1214"/>
        <v>106.55999999999995</v>
      </c>
    </row>
    <row r="3234" spans="1:14" x14ac:dyDescent="0.25">
      <c r="A3234">
        <v>352</v>
      </c>
      <c r="B3234" s="1">
        <v>44098</v>
      </c>
      <c r="C3234" t="str">
        <f t="shared" si="1217"/>
        <v>septiembre</v>
      </c>
      <c r="D3234" t="s">
        <v>15</v>
      </c>
      <c r="F3234" t="s">
        <v>20</v>
      </c>
      <c r="G3234">
        <v>6</v>
      </c>
      <c r="H3234">
        <v>270</v>
      </c>
      <c r="I3234">
        <f t="shared" si="1216"/>
        <v>1620</v>
      </c>
      <c r="J3234" t="s">
        <v>163</v>
      </c>
      <c r="K3234">
        <v>232</v>
      </c>
      <c r="M3234">
        <f t="shared" si="1213"/>
        <v>1392</v>
      </c>
      <c r="N3234">
        <f t="shared" si="1214"/>
        <v>228</v>
      </c>
    </row>
    <row r="3235" spans="1:14" x14ac:dyDescent="0.25">
      <c r="A3235">
        <v>353</v>
      </c>
      <c r="B3235" s="1">
        <v>44098</v>
      </c>
      <c r="C3235" t="str">
        <f t="shared" si="1217"/>
        <v>septiembre</v>
      </c>
      <c r="D3235" t="s">
        <v>55</v>
      </c>
      <c r="F3235" t="s">
        <v>39</v>
      </c>
      <c r="G3235">
        <f>2/17</f>
        <v>0.11764705882352941</v>
      </c>
      <c r="H3235">
        <v>300</v>
      </c>
      <c r="I3235">
        <f t="shared" si="1216"/>
        <v>35.294117647058826</v>
      </c>
      <c r="J3235" t="s">
        <v>167</v>
      </c>
      <c r="K3235">
        <v>268</v>
      </c>
      <c r="M3235">
        <f t="shared" si="1213"/>
        <v>31.52941176470588</v>
      </c>
      <c r="N3235">
        <f t="shared" si="1214"/>
        <v>3.7647058823529456</v>
      </c>
    </row>
    <row r="3236" spans="1:14" x14ac:dyDescent="0.25">
      <c r="A3236">
        <v>354</v>
      </c>
      <c r="B3236" s="1">
        <v>44098</v>
      </c>
      <c r="C3236" t="str">
        <f t="shared" si="1217"/>
        <v>septiembre</v>
      </c>
      <c r="D3236" t="s">
        <v>15</v>
      </c>
      <c r="F3236" t="s">
        <v>21</v>
      </c>
      <c r="G3236">
        <f>4/9</f>
        <v>0.44444444444444442</v>
      </c>
      <c r="H3236">
        <v>300</v>
      </c>
      <c r="I3236">
        <f t="shared" si="1216"/>
        <v>133.33333333333331</v>
      </c>
      <c r="J3236" t="s">
        <v>167</v>
      </c>
      <c r="K3236">
        <v>268</v>
      </c>
      <c r="M3236">
        <f t="shared" si="1213"/>
        <v>119.1111111111111</v>
      </c>
      <c r="N3236">
        <f t="shared" si="1214"/>
        <v>14.222222222222214</v>
      </c>
    </row>
    <row r="3237" spans="1:14" x14ac:dyDescent="0.25">
      <c r="A3237">
        <v>355</v>
      </c>
      <c r="B3237" s="1">
        <v>44098</v>
      </c>
      <c r="C3237" t="str">
        <f t="shared" si="1217"/>
        <v>septiembre</v>
      </c>
      <c r="D3237" t="s">
        <v>70</v>
      </c>
      <c r="F3237" t="s">
        <v>361</v>
      </c>
      <c r="G3237">
        <v>1</v>
      </c>
      <c r="H3237">
        <v>230</v>
      </c>
      <c r="I3237">
        <f t="shared" si="1216"/>
        <v>230</v>
      </c>
      <c r="J3237" t="s">
        <v>198</v>
      </c>
      <c r="K3237">
        <v>150</v>
      </c>
      <c r="M3237">
        <f t="shared" si="1213"/>
        <v>150</v>
      </c>
      <c r="N3237">
        <f t="shared" si="1214"/>
        <v>80</v>
      </c>
    </row>
    <row r="3238" spans="1:14" x14ac:dyDescent="0.25">
      <c r="A3238">
        <v>356</v>
      </c>
      <c r="B3238" s="1">
        <v>44098</v>
      </c>
      <c r="C3238" t="str">
        <f t="shared" si="1217"/>
        <v>septiembre</v>
      </c>
      <c r="D3238" t="s">
        <v>15</v>
      </c>
      <c r="F3238" t="s">
        <v>487</v>
      </c>
      <c r="G3238">
        <v>2</v>
      </c>
      <c r="H3238">
        <v>240</v>
      </c>
      <c r="I3238">
        <f t="shared" si="1216"/>
        <v>480</v>
      </c>
      <c r="J3238" t="s">
        <v>167</v>
      </c>
      <c r="K3238">
        <v>207</v>
      </c>
      <c r="M3238">
        <f t="shared" si="1213"/>
        <v>414</v>
      </c>
      <c r="N3238">
        <f t="shared" si="1214"/>
        <v>66</v>
      </c>
    </row>
    <row r="3239" spans="1:14" x14ac:dyDescent="0.25">
      <c r="A3239">
        <v>357</v>
      </c>
      <c r="B3239" s="1">
        <v>44098</v>
      </c>
      <c r="C3239" t="str">
        <f t="shared" si="1217"/>
        <v>septiembre</v>
      </c>
      <c r="D3239" t="s">
        <v>25</v>
      </c>
      <c r="F3239" t="s">
        <v>142</v>
      </c>
      <c r="G3239">
        <v>4</v>
      </c>
      <c r="H3239">
        <v>60</v>
      </c>
      <c r="I3239">
        <f t="shared" si="1216"/>
        <v>240</v>
      </c>
      <c r="J3239" t="s">
        <v>165</v>
      </c>
      <c r="K3239">
        <v>34</v>
      </c>
      <c r="M3239">
        <f t="shared" si="1213"/>
        <v>136</v>
      </c>
      <c r="N3239">
        <f t="shared" si="1214"/>
        <v>104</v>
      </c>
    </row>
    <row r="3240" spans="1:14" x14ac:dyDescent="0.25">
      <c r="A3240">
        <v>358</v>
      </c>
      <c r="B3240" s="1">
        <v>44098</v>
      </c>
      <c r="C3240" t="str">
        <f t="shared" si="1217"/>
        <v>septiembre</v>
      </c>
      <c r="D3240" t="s">
        <v>56</v>
      </c>
      <c r="F3240" t="s">
        <v>267</v>
      </c>
      <c r="G3240">
        <v>11</v>
      </c>
      <c r="H3240">
        <v>170</v>
      </c>
      <c r="I3240">
        <f t="shared" si="1216"/>
        <v>1870</v>
      </c>
      <c r="J3240" t="s">
        <v>163</v>
      </c>
      <c r="K3240">
        <v>130</v>
      </c>
      <c r="M3240">
        <f t="shared" si="1213"/>
        <v>1430</v>
      </c>
      <c r="N3240">
        <f t="shared" si="1214"/>
        <v>440</v>
      </c>
    </row>
    <row r="3241" spans="1:14" x14ac:dyDescent="0.25">
      <c r="A3241">
        <v>359</v>
      </c>
      <c r="B3241" s="1">
        <v>44098</v>
      </c>
      <c r="C3241" t="str">
        <f t="shared" si="1217"/>
        <v>septiembre</v>
      </c>
      <c r="D3241" t="s">
        <v>15</v>
      </c>
      <c r="F3241" t="s">
        <v>28</v>
      </c>
      <c r="G3241">
        <v>33</v>
      </c>
      <c r="H3241">
        <v>240</v>
      </c>
      <c r="I3241">
        <f t="shared" si="1216"/>
        <v>7920</v>
      </c>
      <c r="J3241" t="s">
        <v>163</v>
      </c>
      <c r="K3241">
        <v>211</v>
      </c>
      <c r="M3241">
        <f t="shared" ref="M3241:M3272" si="1218">+IF(K3241=0,(""),(K3241*G3241))</f>
        <v>6963</v>
      </c>
      <c r="N3241">
        <f t="shared" ref="N3241:N3272" si="1219">+IF(K3241=0,(""),(I3241-M3241))</f>
        <v>957</v>
      </c>
    </row>
    <row r="3242" spans="1:14" x14ac:dyDescent="0.25">
      <c r="A3242">
        <v>360</v>
      </c>
      <c r="B3242" s="1">
        <v>44098</v>
      </c>
      <c r="C3242" t="str">
        <f t="shared" si="1217"/>
        <v>septiembre</v>
      </c>
      <c r="D3242" t="s">
        <v>44</v>
      </c>
      <c r="F3242" t="s">
        <v>138</v>
      </c>
      <c r="G3242">
        <v>1</v>
      </c>
      <c r="H3242">
        <v>35</v>
      </c>
      <c r="I3242">
        <f t="shared" si="1216"/>
        <v>35</v>
      </c>
      <c r="J3242" t="s">
        <v>198</v>
      </c>
      <c r="K3242">
        <v>26</v>
      </c>
      <c r="M3242">
        <f t="shared" si="1218"/>
        <v>26</v>
      </c>
      <c r="N3242">
        <f t="shared" si="1219"/>
        <v>9</v>
      </c>
    </row>
    <row r="3243" spans="1:14" x14ac:dyDescent="0.25">
      <c r="A3243">
        <v>361</v>
      </c>
      <c r="B3243" s="1">
        <v>44098</v>
      </c>
      <c r="C3243" t="str">
        <f t="shared" si="1217"/>
        <v>septiembre</v>
      </c>
      <c r="D3243" t="s">
        <v>15</v>
      </c>
      <c r="F3243" t="s">
        <v>401</v>
      </c>
      <c r="G3243">
        <v>1</v>
      </c>
      <c r="H3243">
        <v>300</v>
      </c>
      <c r="I3243">
        <f t="shared" si="1216"/>
        <v>300</v>
      </c>
      <c r="J3243" t="s">
        <v>167</v>
      </c>
      <c r="K3243">
        <v>268</v>
      </c>
      <c r="M3243">
        <f t="shared" si="1218"/>
        <v>268</v>
      </c>
      <c r="N3243">
        <f t="shared" si="1219"/>
        <v>32</v>
      </c>
    </row>
    <row r="3244" spans="1:14" x14ac:dyDescent="0.25">
      <c r="A3244">
        <v>362</v>
      </c>
      <c r="B3244" s="1">
        <v>44098</v>
      </c>
      <c r="C3244" t="str">
        <f t="shared" si="1217"/>
        <v>septiembre</v>
      </c>
      <c r="D3244" t="s">
        <v>15</v>
      </c>
      <c r="F3244" t="s">
        <v>20</v>
      </c>
      <c r="G3244">
        <v>50</v>
      </c>
      <c r="H3244">
        <v>265</v>
      </c>
      <c r="I3244">
        <f t="shared" si="1216"/>
        <v>13250</v>
      </c>
      <c r="J3244" t="s">
        <v>163</v>
      </c>
      <c r="K3244">
        <v>232</v>
      </c>
      <c r="M3244">
        <f t="shared" si="1218"/>
        <v>11600</v>
      </c>
      <c r="N3244">
        <f t="shared" si="1219"/>
        <v>1650</v>
      </c>
    </row>
    <row r="3245" spans="1:14" x14ac:dyDescent="0.25">
      <c r="A3245">
        <v>363</v>
      </c>
      <c r="B3245" s="1">
        <v>44098</v>
      </c>
      <c r="C3245" t="str">
        <f t="shared" si="1217"/>
        <v>septiembre</v>
      </c>
      <c r="D3245" t="s">
        <v>15</v>
      </c>
      <c r="F3245" t="s">
        <v>32</v>
      </c>
      <c r="G3245">
        <f>5/9</f>
        <v>0.55555555555555558</v>
      </c>
      <c r="H3245">
        <v>280</v>
      </c>
      <c r="I3245">
        <f t="shared" si="1216"/>
        <v>155.55555555555557</v>
      </c>
      <c r="J3245" t="s">
        <v>163</v>
      </c>
      <c r="K3245">
        <v>243</v>
      </c>
      <c r="M3245">
        <f t="shared" si="1218"/>
        <v>135</v>
      </c>
      <c r="N3245">
        <f t="shared" si="1219"/>
        <v>20.555555555555571</v>
      </c>
    </row>
    <row r="3246" spans="1:14" x14ac:dyDescent="0.25">
      <c r="A3246">
        <v>364</v>
      </c>
      <c r="B3246" s="1">
        <v>44098</v>
      </c>
      <c r="C3246" t="str">
        <f t="shared" si="1217"/>
        <v>septiembre</v>
      </c>
      <c r="D3246" t="s">
        <v>55</v>
      </c>
      <c r="F3246" t="s">
        <v>89</v>
      </c>
      <c r="G3246">
        <v>1.5</v>
      </c>
      <c r="H3246">
        <v>300</v>
      </c>
      <c r="I3246">
        <f t="shared" si="1216"/>
        <v>450</v>
      </c>
      <c r="J3246" t="s">
        <v>167</v>
      </c>
      <c r="K3246">
        <v>268</v>
      </c>
      <c r="M3246">
        <f t="shared" si="1218"/>
        <v>402</v>
      </c>
      <c r="N3246">
        <f t="shared" si="1219"/>
        <v>48</v>
      </c>
    </row>
    <row r="3247" spans="1:14" x14ac:dyDescent="0.25">
      <c r="A3247">
        <v>365</v>
      </c>
      <c r="B3247" s="1">
        <v>44098</v>
      </c>
      <c r="C3247" t="str">
        <f t="shared" si="1217"/>
        <v>septiembre</v>
      </c>
      <c r="D3247" t="s">
        <v>25</v>
      </c>
      <c r="F3247" t="s">
        <v>58</v>
      </c>
      <c r="G3247">
        <v>2</v>
      </c>
      <c r="H3247">
        <v>60</v>
      </c>
      <c r="I3247">
        <f t="shared" si="1216"/>
        <v>120</v>
      </c>
      <c r="J3247" t="s">
        <v>165</v>
      </c>
      <c r="K3247">
        <v>34</v>
      </c>
      <c r="M3247">
        <f t="shared" si="1218"/>
        <v>68</v>
      </c>
      <c r="N3247">
        <f t="shared" si="1219"/>
        <v>52</v>
      </c>
    </row>
    <row r="3248" spans="1:14" x14ac:dyDescent="0.25">
      <c r="A3248">
        <v>366</v>
      </c>
      <c r="B3248" s="1">
        <v>44098</v>
      </c>
      <c r="C3248" t="str">
        <f t="shared" si="1217"/>
        <v>septiembre</v>
      </c>
      <c r="D3248" t="s">
        <v>15</v>
      </c>
      <c r="F3248" t="s">
        <v>481</v>
      </c>
      <c r="G3248">
        <v>2.15</v>
      </c>
      <c r="H3248">
        <v>250</v>
      </c>
      <c r="I3248">
        <f t="shared" si="1216"/>
        <v>537.5</v>
      </c>
      <c r="J3248" t="s">
        <v>163</v>
      </c>
      <c r="K3248">
        <v>220</v>
      </c>
      <c r="M3248">
        <f t="shared" si="1218"/>
        <v>473</v>
      </c>
      <c r="N3248">
        <f t="shared" si="1219"/>
        <v>64.5</v>
      </c>
    </row>
    <row r="3249" spans="1:14" x14ac:dyDescent="0.25">
      <c r="A3249">
        <v>367</v>
      </c>
      <c r="B3249" s="1">
        <v>44098</v>
      </c>
      <c r="C3249" t="str">
        <f t="shared" si="1217"/>
        <v>septiembre</v>
      </c>
      <c r="D3249" t="s">
        <v>55</v>
      </c>
      <c r="F3249" t="s">
        <v>111</v>
      </c>
      <c r="G3249">
        <f>10/17</f>
        <v>0.58823529411764708</v>
      </c>
      <c r="H3249">
        <v>300</v>
      </c>
      <c r="I3249">
        <f t="shared" si="1216"/>
        <v>176.47058823529412</v>
      </c>
      <c r="J3249" t="s">
        <v>167</v>
      </c>
      <c r="K3249">
        <v>268</v>
      </c>
      <c r="M3249">
        <f t="shared" si="1218"/>
        <v>157.64705882352942</v>
      </c>
      <c r="N3249">
        <f t="shared" si="1219"/>
        <v>18.823529411764696</v>
      </c>
    </row>
    <row r="3250" spans="1:14" x14ac:dyDescent="0.25">
      <c r="A3250">
        <v>368</v>
      </c>
      <c r="B3250" s="1">
        <v>44098</v>
      </c>
      <c r="C3250" t="str">
        <f t="shared" si="1217"/>
        <v>septiembre</v>
      </c>
      <c r="D3250" t="s">
        <v>56</v>
      </c>
      <c r="F3250" t="s">
        <v>267</v>
      </c>
      <c r="G3250">
        <v>5</v>
      </c>
      <c r="H3250">
        <v>170</v>
      </c>
      <c r="I3250">
        <f t="shared" si="1216"/>
        <v>850</v>
      </c>
      <c r="J3250" t="s">
        <v>163</v>
      </c>
      <c r="K3250">
        <v>130</v>
      </c>
      <c r="M3250">
        <f t="shared" si="1218"/>
        <v>650</v>
      </c>
      <c r="N3250">
        <f t="shared" si="1219"/>
        <v>200</v>
      </c>
    </row>
    <row r="3251" spans="1:14" x14ac:dyDescent="0.25">
      <c r="A3251">
        <v>369</v>
      </c>
      <c r="B3251" s="1">
        <v>44098</v>
      </c>
      <c r="C3251" t="str">
        <f t="shared" si="1217"/>
        <v>septiembre</v>
      </c>
      <c r="D3251" t="s">
        <v>55</v>
      </c>
      <c r="F3251" t="s">
        <v>22</v>
      </c>
      <c r="G3251">
        <v>3.82</v>
      </c>
      <c r="H3251">
        <v>295</v>
      </c>
      <c r="I3251">
        <f t="shared" si="1216"/>
        <v>1126.8999999999999</v>
      </c>
      <c r="J3251" t="s">
        <v>167</v>
      </c>
      <c r="K3251">
        <v>268</v>
      </c>
      <c r="M3251">
        <f t="shared" si="1218"/>
        <v>1023.76</v>
      </c>
      <c r="N3251">
        <f t="shared" si="1219"/>
        <v>103.13999999999987</v>
      </c>
    </row>
    <row r="3252" spans="1:14" x14ac:dyDescent="0.25">
      <c r="A3252">
        <v>370</v>
      </c>
      <c r="B3252" s="1">
        <v>44099</v>
      </c>
      <c r="C3252" t="str">
        <f t="shared" si="1217"/>
        <v>septiembre</v>
      </c>
      <c r="D3252" t="s">
        <v>15</v>
      </c>
      <c r="F3252" t="s">
        <v>17</v>
      </c>
      <c r="G3252">
        <v>3</v>
      </c>
      <c r="H3252">
        <v>360</v>
      </c>
      <c r="I3252">
        <f t="shared" si="1216"/>
        <v>1080</v>
      </c>
      <c r="J3252" t="s">
        <v>13</v>
      </c>
      <c r="K3252">
        <v>335</v>
      </c>
      <c r="M3252">
        <f t="shared" si="1218"/>
        <v>1005</v>
      </c>
      <c r="N3252">
        <f t="shared" si="1219"/>
        <v>75</v>
      </c>
    </row>
    <row r="3253" spans="1:14" x14ac:dyDescent="0.25">
      <c r="A3253">
        <v>371</v>
      </c>
      <c r="B3253" s="1">
        <v>44099</v>
      </c>
      <c r="C3253" t="str">
        <f t="shared" si="1217"/>
        <v>septiembre</v>
      </c>
      <c r="D3253" t="s">
        <v>15</v>
      </c>
      <c r="F3253" t="s">
        <v>346</v>
      </c>
      <c r="G3253">
        <f>3/10</f>
        <v>0.3</v>
      </c>
      <c r="H3253">
        <v>250</v>
      </c>
      <c r="I3253">
        <f t="shared" si="1216"/>
        <v>75</v>
      </c>
      <c r="J3253" t="s">
        <v>167</v>
      </c>
      <c r="K3253">
        <v>210</v>
      </c>
      <c r="M3253">
        <f t="shared" si="1218"/>
        <v>63</v>
      </c>
      <c r="N3253">
        <f t="shared" si="1219"/>
        <v>12</v>
      </c>
    </row>
    <row r="3254" spans="1:14" x14ac:dyDescent="0.25">
      <c r="A3254">
        <v>372</v>
      </c>
      <c r="B3254" s="1">
        <v>44099</v>
      </c>
      <c r="C3254" t="str">
        <f t="shared" si="1217"/>
        <v>septiembre</v>
      </c>
      <c r="D3254" t="s">
        <v>64</v>
      </c>
      <c r="F3254" t="s">
        <v>471</v>
      </c>
      <c r="G3254">
        <f>6/9*1.19</f>
        <v>0.79333333333333322</v>
      </c>
      <c r="H3254">
        <v>430</v>
      </c>
      <c r="I3254">
        <f t="shared" si="1216"/>
        <v>341.13333333333327</v>
      </c>
      <c r="J3254" t="s">
        <v>167</v>
      </c>
      <c r="K3254">
        <v>309</v>
      </c>
      <c r="M3254">
        <f t="shared" si="1218"/>
        <v>245.13999999999996</v>
      </c>
      <c r="N3254">
        <f t="shared" si="1219"/>
        <v>95.993333333333311</v>
      </c>
    </row>
    <row r="3255" spans="1:14" x14ac:dyDescent="0.25">
      <c r="A3255">
        <v>373</v>
      </c>
      <c r="B3255" s="1">
        <v>44099</v>
      </c>
      <c r="C3255" t="str">
        <f t="shared" si="1217"/>
        <v>septiembre</v>
      </c>
      <c r="D3255" t="s">
        <v>56</v>
      </c>
      <c r="F3255" t="s">
        <v>267</v>
      </c>
      <c r="G3255">
        <v>1</v>
      </c>
      <c r="H3255">
        <v>170</v>
      </c>
      <c r="I3255">
        <f t="shared" si="1216"/>
        <v>170</v>
      </c>
      <c r="J3255" t="s">
        <v>163</v>
      </c>
      <c r="K3255">
        <v>130</v>
      </c>
      <c r="M3255">
        <f t="shared" si="1218"/>
        <v>130</v>
      </c>
      <c r="N3255">
        <f t="shared" si="1219"/>
        <v>40</v>
      </c>
    </row>
    <row r="3256" spans="1:14" x14ac:dyDescent="0.25">
      <c r="A3256">
        <v>374</v>
      </c>
      <c r="B3256" s="1">
        <v>44099</v>
      </c>
      <c r="C3256" t="str">
        <f t="shared" si="1217"/>
        <v>septiembre</v>
      </c>
      <c r="D3256" t="s">
        <v>25</v>
      </c>
      <c r="F3256" t="s">
        <v>61</v>
      </c>
      <c r="G3256">
        <v>1</v>
      </c>
      <c r="H3256">
        <v>60</v>
      </c>
      <c r="I3256">
        <f t="shared" si="1216"/>
        <v>60</v>
      </c>
      <c r="J3256" t="s">
        <v>165</v>
      </c>
      <c r="K3256">
        <v>34</v>
      </c>
      <c r="M3256">
        <f t="shared" si="1218"/>
        <v>34</v>
      </c>
      <c r="N3256">
        <f t="shared" si="1219"/>
        <v>26</v>
      </c>
    </row>
    <row r="3257" spans="1:14" x14ac:dyDescent="0.25">
      <c r="A3257">
        <v>375</v>
      </c>
      <c r="B3257" s="1">
        <v>44099</v>
      </c>
      <c r="C3257" t="str">
        <f t="shared" si="1217"/>
        <v>septiembre</v>
      </c>
      <c r="D3257" t="s">
        <v>25</v>
      </c>
      <c r="F3257" t="s">
        <v>57</v>
      </c>
      <c r="G3257">
        <v>1</v>
      </c>
      <c r="H3257">
        <v>60</v>
      </c>
      <c r="I3257">
        <f t="shared" si="1216"/>
        <v>60</v>
      </c>
      <c r="J3257" t="s">
        <v>165</v>
      </c>
      <c r="K3257">
        <v>34</v>
      </c>
      <c r="M3257">
        <f t="shared" si="1218"/>
        <v>34</v>
      </c>
      <c r="N3257">
        <f t="shared" si="1219"/>
        <v>26</v>
      </c>
    </row>
    <row r="3258" spans="1:14" x14ac:dyDescent="0.25">
      <c r="A3258">
        <v>376</v>
      </c>
      <c r="B3258" s="1">
        <v>44099</v>
      </c>
      <c r="C3258" t="str">
        <f t="shared" si="1217"/>
        <v>septiembre</v>
      </c>
      <c r="D3258" t="s">
        <v>26</v>
      </c>
      <c r="F3258" t="s">
        <v>484</v>
      </c>
      <c r="G3258">
        <f>5220/270</f>
        <v>19.333333333333332</v>
      </c>
      <c r="H3258">
        <v>270</v>
      </c>
      <c r="I3258">
        <v>5220</v>
      </c>
      <c r="J3258" t="s">
        <v>163</v>
      </c>
      <c r="K3258">
        <v>243</v>
      </c>
      <c r="M3258">
        <f t="shared" si="1218"/>
        <v>4698</v>
      </c>
      <c r="N3258">
        <f t="shared" si="1219"/>
        <v>522</v>
      </c>
    </row>
    <row r="3259" spans="1:14" x14ac:dyDescent="0.25">
      <c r="A3259">
        <v>377</v>
      </c>
      <c r="B3259" s="1">
        <v>44099</v>
      </c>
      <c r="C3259" t="str">
        <f t="shared" si="1217"/>
        <v>septiembre</v>
      </c>
      <c r="D3259" t="s">
        <v>15</v>
      </c>
      <c r="F3259" t="s">
        <v>490</v>
      </c>
      <c r="G3259">
        <v>6</v>
      </c>
      <c r="H3259">
        <v>240</v>
      </c>
      <c r="I3259">
        <f t="shared" si="1216"/>
        <v>1440</v>
      </c>
      <c r="J3259" t="s">
        <v>167</v>
      </c>
      <c r="K3259">
        <v>207</v>
      </c>
      <c r="M3259">
        <f t="shared" si="1218"/>
        <v>1242</v>
      </c>
      <c r="N3259">
        <f t="shared" si="1219"/>
        <v>198</v>
      </c>
    </row>
    <row r="3260" spans="1:14" x14ac:dyDescent="0.25">
      <c r="A3260">
        <v>378</v>
      </c>
      <c r="B3260" s="1">
        <v>44099</v>
      </c>
      <c r="C3260" t="str">
        <f t="shared" si="1217"/>
        <v>septiembre</v>
      </c>
      <c r="D3260" t="s">
        <v>56</v>
      </c>
      <c r="F3260" t="s">
        <v>267</v>
      </c>
      <c r="G3260">
        <v>2</v>
      </c>
      <c r="H3260">
        <v>170</v>
      </c>
      <c r="I3260">
        <f t="shared" si="1216"/>
        <v>340</v>
      </c>
      <c r="J3260" t="s">
        <v>163</v>
      </c>
      <c r="K3260">
        <v>130</v>
      </c>
      <c r="M3260">
        <f t="shared" si="1218"/>
        <v>260</v>
      </c>
      <c r="N3260">
        <f t="shared" si="1219"/>
        <v>80</v>
      </c>
    </row>
    <row r="3261" spans="1:14" x14ac:dyDescent="0.25">
      <c r="A3261">
        <v>379</v>
      </c>
      <c r="B3261" s="1">
        <v>44099</v>
      </c>
      <c r="C3261" t="str">
        <f t="shared" si="1217"/>
        <v>septiembre</v>
      </c>
      <c r="D3261" t="s">
        <v>15</v>
      </c>
      <c r="F3261" t="s">
        <v>481</v>
      </c>
      <c r="G3261">
        <v>4</v>
      </c>
      <c r="H3261">
        <v>250</v>
      </c>
      <c r="I3261">
        <f t="shared" si="1216"/>
        <v>1000</v>
      </c>
      <c r="J3261" t="s">
        <v>163</v>
      </c>
      <c r="K3261">
        <v>220</v>
      </c>
      <c r="M3261">
        <f t="shared" si="1218"/>
        <v>880</v>
      </c>
      <c r="N3261">
        <f t="shared" si="1219"/>
        <v>120</v>
      </c>
    </row>
    <row r="3262" spans="1:14" x14ac:dyDescent="0.25">
      <c r="A3262">
        <v>380</v>
      </c>
      <c r="B3262" s="1">
        <v>44100</v>
      </c>
      <c r="C3262" t="str">
        <f t="shared" si="1217"/>
        <v>septiembre</v>
      </c>
      <c r="D3262" t="s">
        <v>15</v>
      </c>
      <c r="F3262" t="s">
        <v>481</v>
      </c>
      <c r="G3262">
        <f>1/18*2.15</f>
        <v>0.11944444444444444</v>
      </c>
      <c r="H3262">
        <v>250</v>
      </c>
      <c r="I3262">
        <f t="shared" si="1216"/>
        <v>29.861111111111111</v>
      </c>
      <c r="J3262" t="s">
        <v>163</v>
      </c>
      <c r="K3262">
        <v>220</v>
      </c>
      <c r="M3262">
        <f t="shared" si="1218"/>
        <v>26.277777777777775</v>
      </c>
      <c r="N3262">
        <f t="shared" si="1219"/>
        <v>3.5833333333333357</v>
      </c>
    </row>
    <row r="3263" spans="1:14" x14ac:dyDescent="0.25">
      <c r="A3263">
        <v>381</v>
      </c>
      <c r="B3263" s="1">
        <v>44100</v>
      </c>
      <c r="C3263" t="str">
        <f t="shared" si="1217"/>
        <v>septiembre</v>
      </c>
      <c r="D3263" t="s">
        <v>55</v>
      </c>
      <c r="F3263" t="s">
        <v>399</v>
      </c>
      <c r="G3263">
        <v>5</v>
      </c>
      <c r="H3263">
        <v>295</v>
      </c>
      <c r="I3263">
        <f t="shared" ref="I3263:I3326" si="1220">+G3263*H3263</f>
        <v>1475</v>
      </c>
      <c r="J3263" t="s">
        <v>167</v>
      </c>
      <c r="K3263">
        <v>268</v>
      </c>
      <c r="M3263">
        <f t="shared" si="1218"/>
        <v>1340</v>
      </c>
      <c r="N3263">
        <f t="shared" si="1219"/>
        <v>135</v>
      </c>
    </row>
    <row r="3264" spans="1:14" x14ac:dyDescent="0.25">
      <c r="A3264">
        <v>382</v>
      </c>
      <c r="B3264" s="1">
        <v>44100</v>
      </c>
      <c r="C3264" t="str">
        <f t="shared" si="1217"/>
        <v>septiembre</v>
      </c>
      <c r="D3264" t="s">
        <v>15</v>
      </c>
      <c r="F3264" t="s">
        <v>17</v>
      </c>
      <c r="G3264">
        <v>3</v>
      </c>
      <c r="H3264">
        <v>360</v>
      </c>
      <c r="I3264">
        <f t="shared" si="1220"/>
        <v>1080</v>
      </c>
      <c r="J3264" t="s">
        <v>167</v>
      </c>
      <c r="K3264">
        <v>307</v>
      </c>
      <c r="M3264">
        <f t="shared" si="1218"/>
        <v>921</v>
      </c>
      <c r="N3264">
        <f t="shared" si="1219"/>
        <v>159</v>
      </c>
    </row>
    <row r="3265" spans="1:14" x14ac:dyDescent="0.25">
      <c r="A3265">
        <v>383</v>
      </c>
      <c r="B3265" s="1">
        <v>44100</v>
      </c>
      <c r="C3265" t="str">
        <f t="shared" si="1217"/>
        <v>septiembre</v>
      </c>
      <c r="D3265" t="s">
        <v>15</v>
      </c>
      <c r="F3265" t="s">
        <v>29</v>
      </c>
      <c r="G3265">
        <v>48</v>
      </c>
      <c r="H3265">
        <v>240</v>
      </c>
      <c r="I3265">
        <f t="shared" si="1220"/>
        <v>11520</v>
      </c>
      <c r="J3265" t="s">
        <v>163</v>
      </c>
      <c r="K3265">
        <v>211</v>
      </c>
      <c r="M3265">
        <f t="shared" si="1218"/>
        <v>10128</v>
      </c>
      <c r="N3265">
        <f t="shared" si="1219"/>
        <v>1392</v>
      </c>
    </row>
    <row r="3266" spans="1:14" x14ac:dyDescent="0.25">
      <c r="A3266">
        <v>384</v>
      </c>
      <c r="B3266" s="1">
        <v>44100</v>
      </c>
      <c r="C3266" t="str">
        <f t="shared" si="1217"/>
        <v>septiembre</v>
      </c>
      <c r="D3266" t="s">
        <v>56</v>
      </c>
      <c r="F3266" t="s">
        <v>267</v>
      </c>
      <c r="G3266">
        <v>20</v>
      </c>
      <c r="H3266">
        <v>170</v>
      </c>
      <c r="I3266">
        <f t="shared" si="1220"/>
        <v>3400</v>
      </c>
      <c r="J3266" t="s">
        <v>163</v>
      </c>
      <c r="K3266">
        <v>130</v>
      </c>
      <c r="M3266">
        <f t="shared" si="1218"/>
        <v>2600</v>
      </c>
      <c r="N3266">
        <f t="shared" si="1219"/>
        <v>800</v>
      </c>
    </row>
    <row r="3267" spans="1:14" x14ac:dyDescent="0.25">
      <c r="A3267">
        <v>385</v>
      </c>
      <c r="B3267" s="1">
        <v>44100</v>
      </c>
      <c r="C3267" t="str">
        <f t="shared" si="1217"/>
        <v>septiembre</v>
      </c>
      <c r="D3267" t="s">
        <v>25</v>
      </c>
      <c r="F3267" t="s">
        <v>58</v>
      </c>
      <c r="G3267">
        <v>2</v>
      </c>
      <c r="H3267">
        <v>60</v>
      </c>
      <c r="I3267">
        <f t="shared" si="1220"/>
        <v>120</v>
      </c>
      <c r="J3267" t="s">
        <v>165</v>
      </c>
      <c r="K3267">
        <v>34</v>
      </c>
      <c r="M3267">
        <f t="shared" si="1218"/>
        <v>68</v>
      </c>
      <c r="N3267">
        <f t="shared" si="1219"/>
        <v>52</v>
      </c>
    </row>
    <row r="3268" spans="1:14" x14ac:dyDescent="0.25">
      <c r="A3268">
        <v>386</v>
      </c>
      <c r="B3268" s="1">
        <v>44100</v>
      </c>
      <c r="C3268" t="str">
        <f t="shared" si="1217"/>
        <v>septiembre</v>
      </c>
      <c r="D3268" t="s">
        <v>25</v>
      </c>
      <c r="F3268" t="s">
        <v>142</v>
      </c>
      <c r="G3268">
        <v>6</v>
      </c>
      <c r="H3268">
        <v>60</v>
      </c>
      <c r="I3268">
        <f t="shared" si="1220"/>
        <v>360</v>
      </c>
      <c r="J3268" t="s">
        <v>165</v>
      </c>
      <c r="K3268">
        <v>34</v>
      </c>
      <c r="M3268">
        <f t="shared" si="1218"/>
        <v>204</v>
      </c>
      <c r="N3268">
        <f t="shared" si="1219"/>
        <v>156</v>
      </c>
    </row>
    <row r="3269" spans="1:14" x14ac:dyDescent="0.25">
      <c r="A3269">
        <v>387</v>
      </c>
      <c r="B3269" s="1">
        <v>44100</v>
      </c>
      <c r="C3269" t="str">
        <f t="shared" si="1217"/>
        <v>septiembre</v>
      </c>
      <c r="D3269" t="s">
        <v>15</v>
      </c>
      <c r="F3269" t="s">
        <v>29</v>
      </c>
      <c r="G3269">
        <f>35/14*1.53</f>
        <v>3.8250000000000002</v>
      </c>
      <c r="H3269">
        <v>240</v>
      </c>
      <c r="I3269">
        <f t="shared" si="1220"/>
        <v>918</v>
      </c>
      <c r="J3269" t="s">
        <v>163</v>
      </c>
      <c r="K3269">
        <v>211</v>
      </c>
      <c r="M3269">
        <f t="shared" si="1218"/>
        <v>807.07500000000005</v>
      </c>
      <c r="N3269">
        <f t="shared" si="1219"/>
        <v>110.92499999999995</v>
      </c>
    </row>
    <row r="3270" spans="1:14" x14ac:dyDescent="0.25">
      <c r="A3270">
        <v>388</v>
      </c>
      <c r="B3270" s="1">
        <v>44100</v>
      </c>
      <c r="C3270" t="str">
        <f t="shared" si="1217"/>
        <v>septiembre</v>
      </c>
      <c r="D3270" t="s">
        <v>15</v>
      </c>
      <c r="F3270" t="s">
        <v>356</v>
      </c>
      <c r="G3270">
        <v>22</v>
      </c>
      <c r="H3270">
        <v>240</v>
      </c>
      <c r="I3270">
        <f t="shared" si="1220"/>
        <v>5280</v>
      </c>
      <c r="J3270" t="s">
        <v>167</v>
      </c>
      <c r="K3270">
        <v>207</v>
      </c>
      <c r="M3270">
        <f t="shared" si="1218"/>
        <v>4554</v>
      </c>
      <c r="N3270">
        <f t="shared" si="1219"/>
        <v>726</v>
      </c>
    </row>
    <row r="3271" spans="1:14" x14ac:dyDescent="0.25">
      <c r="A3271">
        <v>389</v>
      </c>
      <c r="B3271" s="1">
        <v>44100</v>
      </c>
      <c r="C3271" t="str">
        <f t="shared" si="1217"/>
        <v>septiembre</v>
      </c>
      <c r="D3271" t="s">
        <v>92</v>
      </c>
      <c r="F3271" t="s">
        <v>496</v>
      </c>
      <c r="G3271">
        <v>1</v>
      </c>
      <c r="H3271">
        <v>600</v>
      </c>
      <c r="I3271">
        <f t="shared" si="1220"/>
        <v>600</v>
      </c>
      <c r="J3271" t="s">
        <v>167</v>
      </c>
      <c r="K3271">
        <v>360</v>
      </c>
      <c r="M3271">
        <f t="shared" si="1218"/>
        <v>360</v>
      </c>
      <c r="N3271">
        <f t="shared" si="1219"/>
        <v>240</v>
      </c>
    </row>
    <row r="3272" spans="1:14" x14ac:dyDescent="0.25">
      <c r="A3272">
        <v>390</v>
      </c>
      <c r="B3272" s="1">
        <v>44100</v>
      </c>
      <c r="C3272" t="str">
        <f t="shared" si="1217"/>
        <v>septiembre</v>
      </c>
      <c r="D3272" t="s">
        <v>15</v>
      </c>
      <c r="F3272" t="s">
        <v>497</v>
      </c>
      <c r="G3272">
        <v>1</v>
      </c>
      <c r="H3272">
        <v>250</v>
      </c>
      <c r="I3272">
        <f t="shared" si="1220"/>
        <v>250</v>
      </c>
      <c r="J3272" t="s">
        <v>167</v>
      </c>
      <c r="K3272">
        <v>207</v>
      </c>
      <c r="M3272">
        <f t="shared" si="1218"/>
        <v>207</v>
      </c>
      <c r="N3272">
        <f t="shared" si="1219"/>
        <v>43</v>
      </c>
    </row>
    <row r="3273" spans="1:14" x14ac:dyDescent="0.25">
      <c r="A3273">
        <v>391</v>
      </c>
      <c r="B3273" s="1">
        <v>44102</v>
      </c>
      <c r="C3273" t="str">
        <f t="shared" si="1217"/>
        <v>septiembre</v>
      </c>
      <c r="D3273" t="s">
        <v>25</v>
      </c>
      <c r="F3273" t="s">
        <v>130</v>
      </c>
      <c r="G3273">
        <v>1</v>
      </c>
      <c r="H3273">
        <v>60</v>
      </c>
      <c r="I3273">
        <f t="shared" si="1220"/>
        <v>60</v>
      </c>
      <c r="J3273" t="s">
        <v>165</v>
      </c>
      <c r="K3273">
        <v>34</v>
      </c>
      <c r="M3273">
        <f t="shared" ref="M3273:M3336" si="1221">+IF(K3273=0,(""),(K3273*G3273))</f>
        <v>34</v>
      </c>
      <c r="N3273">
        <f t="shared" ref="N3273:N3336" si="1222">+IF(K3273=0,(""),(I3273-M3273))</f>
        <v>26</v>
      </c>
    </row>
    <row r="3274" spans="1:14" x14ac:dyDescent="0.25">
      <c r="A3274">
        <v>392</v>
      </c>
      <c r="B3274" s="1">
        <v>44102</v>
      </c>
      <c r="C3274" t="str">
        <f t="shared" si="1217"/>
        <v>septiembre</v>
      </c>
      <c r="D3274" t="s">
        <v>55</v>
      </c>
      <c r="F3274" t="s">
        <v>89</v>
      </c>
      <c r="G3274">
        <f>2/17</f>
        <v>0.11764705882352941</v>
      </c>
      <c r="H3274">
        <v>300</v>
      </c>
      <c r="I3274">
        <f t="shared" si="1220"/>
        <v>35.294117647058826</v>
      </c>
      <c r="J3274" t="s">
        <v>167</v>
      </c>
      <c r="K3274">
        <v>268</v>
      </c>
      <c r="M3274">
        <f t="shared" si="1221"/>
        <v>31.52941176470588</v>
      </c>
      <c r="N3274">
        <f t="shared" si="1222"/>
        <v>3.7647058823529456</v>
      </c>
    </row>
    <row r="3275" spans="1:14" x14ac:dyDescent="0.25">
      <c r="A3275">
        <v>393</v>
      </c>
      <c r="B3275" s="1">
        <v>44102</v>
      </c>
      <c r="C3275" t="str">
        <f t="shared" si="1217"/>
        <v>septiembre</v>
      </c>
      <c r="D3275" t="s">
        <v>56</v>
      </c>
      <c r="F3275" t="s">
        <v>236</v>
      </c>
      <c r="G3275">
        <v>1</v>
      </c>
      <c r="H3275">
        <v>120</v>
      </c>
      <c r="I3275">
        <f t="shared" si="1220"/>
        <v>120</v>
      </c>
      <c r="J3275" t="s">
        <v>165</v>
      </c>
      <c r="K3275">
        <v>83</v>
      </c>
      <c r="M3275">
        <f t="shared" si="1221"/>
        <v>83</v>
      </c>
      <c r="N3275">
        <f t="shared" si="1222"/>
        <v>37</v>
      </c>
    </row>
    <row r="3276" spans="1:14" x14ac:dyDescent="0.25">
      <c r="A3276">
        <v>394</v>
      </c>
      <c r="B3276" s="1">
        <v>44102</v>
      </c>
      <c r="C3276" t="str">
        <f t="shared" si="1217"/>
        <v>septiembre</v>
      </c>
      <c r="D3276" t="s">
        <v>15</v>
      </c>
      <c r="F3276" t="s">
        <v>495</v>
      </c>
      <c r="G3276">
        <v>2</v>
      </c>
      <c r="H3276">
        <v>240</v>
      </c>
      <c r="I3276">
        <f t="shared" si="1220"/>
        <v>480</v>
      </c>
      <c r="J3276" t="s">
        <v>167</v>
      </c>
      <c r="K3276">
        <v>207</v>
      </c>
      <c r="M3276">
        <f t="shared" si="1221"/>
        <v>414</v>
      </c>
      <c r="N3276">
        <f t="shared" si="1222"/>
        <v>66</v>
      </c>
    </row>
    <row r="3277" spans="1:14" x14ac:dyDescent="0.25">
      <c r="A3277">
        <v>395</v>
      </c>
      <c r="B3277" s="1">
        <v>44102</v>
      </c>
      <c r="C3277" t="str">
        <f t="shared" si="1217"/>
        <v>septiembre</v>
      </c>
      <c r="D3277" t="s">
        <v>15</v>
      </c>
      <c r="F3277" t="s">
        <v>481</v>
      </c>
      <c r="G3277">
        <v>6</v>
      </c>
      <c r="H3277">
        <v>250</v>
      </c>
      <c r="I3277">
        <f t="shared" si="1220"/>
        <v>1500</v>
      </c>
      <c r="J3277" t="s">
        <v>163</v>
      </c>
      <c r="K3277">
        <v>220</v>
      </c>
      <c r="M3277">
        <f t="shared" si="1221"/>
        <v>1320</v>
      </c>
      <c r="N3277">
        <f t="shared" si="1222"/>
        <v>180</v>
      </c>
    </row>
    <row r="3278" spans="1:14" x14ac:dyDescent="0.25">
      <c r="A3278">
        <v>396</v>
      </c>
      <c r="B3278" s="1">
        <v>44102</v>
      </c>
      <c r="C3278" t="str">
        <f t="shared" si="1217"/>
        <v>septiembre</v>
      </c>
      <c r="D3278" t="s">
        <v>56</v>
      </c>
      <c r="F3278" t="s">
        <v>236</v>
      </c>
      <c r="G3278">
        <v>2</v>
      </c>
      <c r="H3278">
        <v>120</v>
      </c>
      <c r="I3278">
        <f t="shared" si="1220"/>
        <v>240</v>
      </c>
      <c r="J3278" t="s">
        <v>165</v>
      </c>
      <c r="K3278">
        <v>83</v>
      </c>
      <c r="M3278">
        <f t="shared" si="1221"/>
        <v>166</v>
      </c>
      <c r="N3278">
        <f t="shared" si="1222"/>
        <v>74</v>
      </c>
    </row>
    <row r="3279" spans="1:14" x14ac:dyDescent="0.25">
      <c r="A3279">
        <v>397</v>
      </c>
      <c r="B3279" s="1">
        <v>44102</v>
      </c>
      <c r="C3279" t="str">
        <f t="shared" si="1217"/>
        <v>septiembre</v>
      </c>
      <c r="D3279" t="s">
        <v>25</v>
      </c>
      <c r="F3279" t="s">
        <v>128</v>
      </c>
      <c r="G3279">
        <v>2</v>
      </c>
      <c r="H3279">
        <v>60</v>
      </c>
      <c r="I3279">
        <f t="shared" si="1220"/>
        <v>120</v>
      </c>
      <c r="J3279" t="s">
        <v>165</v>
      </c>
      <c r="K3279">
        <v>34</v>
      </c>
      <c r="M3279">
        <f t="shared" si="1221"/>
        <v>68</v>
      </c>
      <c r="N3279">
        <f t="shared" si="1222"/>
        <v>52</v>
      </c>
    </row>
    <row r="3280" spans="1:14" x14ac:dyDescent="0.25">
      <c r="A3280">
        <v>398</v>
      </c>
      <c r="B3280" s="1">
        <v>44102</v>
      </c>
      <c r="C3280" t="str">
        <f t="shared" si="1217"/>
        <v>septiembre</v>
      </c>
      <c r="D3280" t="s">
        <v>15</v>
      </c>
      <c r="F3280" t="s">
        <v>20</v>
      </c>
      <c r="G3280">
        <v>11</v>
      </c>
      <c r="H3280">
        <v>270</v>
      </c>
      <c r="I3280">
        <f t="shared" si="1220"/>
        <v>2970</v>
      </c>
      <c r="J3280" t="s">
        <v>163</v>
      </c>
      <c r="K3280">
        <v>242</v>
      </c>
      <c r="M3280">
        <f t="shared" si="1221"/>
        <v>2662</v>
      </c>
      <c r="N3280">
        <f t="shared" si="1222"/>
        <v>308</v>
      </c>
    </row>
    <row r="3281" spans="1:14" x14ac:dyDescent="0.25">
      <c r="A3281">
        <v>399</v>
      </c>
      <c r="B3281" s="1">
        <v>44102</v>
      </c>
      <c r="C3281" t="str">
        <f t="shared" si="1217"/>
        <v>septiembre</v>
      </c>
      <c r="D3281" t="s">
        <v>15</v>
      </c>
      <c r="F3281" t="s">
        <v>29</v>
      </c>
      <c r="G3281">
        <v>7</v>
      </c>
      <c r="H3281">
        <v>240</v>
      </c>
      <c r="I3281">
        <f t="shared" si="1220"/>
        <v>1680</v>
      </c>
      <c r="J3281" t="s">
        <v>163</v>
      </c>
      <c r="K3281">
        <v>211</v>
      </c>
      <c r="M3281">
        <f t="shared" si="1221"/>
        <v>1477</v>
      </c>
      <c r="N3281">
        <f t="shared" si="1222"/>
        <v>203</v>
      </c>
    </row>
    <row r="3282" spans="1:14" x14ac:dyDescent="0.25">
      <c r="A3282">
        <v>400</v>
      </c>
      <c r="B3282" s="1">
        <v>44102</v>
      </c>
      <c r="C3282" t="str">
        <f t="shared" si="1217"/>
        <v>septiembre</v>
      </c>
      <c r="D3282" t="s">
        <v>55</v>
      </c>
      <c r="F3282" t="s">
        <v>473</v>
      </c>
      <c r="G3282">
        <f>4/16</f>
        <v>0.25</v>
      </c>
      <c r="H3282">
        <v>270</v>
      </c>
      <c r="I3282">
        <f t="shared" si="1220"/>
        <v>67.5</v>
      </c>
      <c r="J3282" t="s">
        <v>167</v>
      </c>
      <c r="K3282">
        <v>207</v>
      </c>
      <c r="M3282">
        <f t="shared" si="1221"/>
        <v>51.75</v>
      </c>
      <c r="N3282">
        <f t="shared" si="1222"/>
        <v>15.75</v>
      </c>
    </row>
    <row r="3283" spans="1:14" x14ac:dyDescent="0.25">
      <c r="A3283">
        <v>401</v>
      </c>
      <c r="B3283" s="1">
        <v>44102</v>
      </c>
      <c r="C3283" t="str">
        <f t="shared" si="1217"/>
        <v>septiembre</v>
      </c>
      <c r="D3283" t="s">
        <v>55</v>
      </c>
      <c r="F3283" t="s">
        <v>416</v>
      </c>
      <c r="G3283">
        <v>2</v>
      </c>
      <c r="H3283">
        <v>270</v>
      </c>
      <c r="I3283">
        <f t="shared" si="1220"/>
        <v>540</v>
      </c>
      <c r="J3283" t="s">
        <v>167</v>
      </c>
      <c r="K3283">
        <v>207</v>
      </c>
      <c r="M3283">
        <f t="shared" si="1221"/>
        <v>414</v>
      </c>
      <c r="N3283">
        <f t="shared" si="1222"/>
        <v>126</v>
      </c>
    </row>
    <row r="3284" spans="1:14" x14ac:dyDescent="0.25">
      <c r="A3284">
        <v>402</v>
      </c>
      <c r="B3284" s="1">
        <v>44102</v>
      </c>
      <c r="C3284" t="str">
        <f t="shared" si="1217"/>
        <v>septiembre</v>
      </c>
      <c r="D3284" t="s">
        <v>55</v>
      </c>
      <c r="F3284" t="s">
        <v>135</v>
      </c>
      <c r="G3284">
        <f>6/17</f>
        <v>0.35294117647058826</v>
      </c>
      <c r="H3284">
        <v>300</v>
      </c>
      <c r="I3284">
        <f t="shared" si="1220"/>
        <v>105.88235294117648</v>
      </c>
      <c r="J3284" t="s">
        <v>167</v>
      </c>
      <c r="K3284">
        <v>268</v>
      </c>
      <c r="M3284">
        <f t="shared" si="1221"/>
        <v>94.588235294117652</v>
      </c>
      <c r="N3284">
        <f t="shared" si="1222"/>
        <v>11.294117647058826</v>
      </c>
    </row>
    <row r="3285" spans="1:14" x14ac:dyDescent="0.25">
      <c r="A3285">
        <v>403</v>
      </c>
      <c r="B3285" s="1">
        <v>44102</v>
      </c>
      <c r="C3285" t="str">
        <f t="shared" si="1217"/>
        <v>septiembre</v>
      </c>
      <c r="D3285" t="s">
        <v>56</v>
      </c>
      <c r="F3285" t="s">
        <v>267</v>
      </c>
      <c r="G3285">
        <v>10</v>
      </c>
      <c r="H3285">
        <v>170</v>
      </c>
      <c r="I3285">
        <f t="shared" si="1220"/>
        <v>1700</v>
      </c>
      <c r="J3285" t="s">
        <v>163</v>
      </c>
      <c r="K3285">
        <v>123</v>
      </c>
      <c r="M3285">
        <f t="shared" si="1221"/>
        <v>1230</v>
      </c>
      <c r="N3285">
        <f t="shared" si="1222"/>
        <v>470</v>
      </c>
    </row>
    <row r="3286" spans="1:14" x14ac:dyDescent="0.25">
      <c r="A3286">
        <v>404</v>
      </c>
      <c r="B3286" s="1">
        <v>44102</v>
      </c>
      <c r="C3286" t="str">
        <f t="shared" si="1217"/>
        <v>septiembre</v>
      </c>
      <c r="D3286" t="s">
        <v>15</v>
      </c>
      <c r="F3286" t="s">
        <v>425</v>
      </c>
      <c r="G3286">
        <v>4</v>
      </c>
      <c r="H3286">
        <v>240</v>
      </c>
      <c r="I3286">
        <f t="shared" si="1220"/>
        <v>960</v>
      </c>
      <c r="J3286" t="s">
        <v>167</v>
      </c>
      <c r="K3286">
        <v>207</v>
      </c>
      <c r="M3286">
        <f t="shared" si="1221"/>
        <v>828</v>
      </c>
      <c r="N3286">
        <f t="shared" si="1222"/>
        <v>132</v>
      </c>
    </row>
    <row r="3287" spans="1:14" x14ac:dyDescent="0.25">
      <c r="A3287">
        <v>405</v>
      </c>
      <c r="B3287" s="1">
        <v>44102</v>
      </c>
      <c r="C3287" t="str">
        <f t="shared" si="1217"/>
        <v>septiembre</v>
      </c>
      <c r="D3287" t="s">
        <v>55</v>
      </c>
      <c r="F3287" t="s">
        <v>22</v>
      </c>
      <c r="G3287">
        <f>9/17</f>
        <v>0.52941176470588236</v>
      </c>
      <c r="H3287">
        <v>300</v>
      </c>
      <c r="I3287">
        <f t="shared" si="1220"/>
        <v>158.8235294117647</v>
      </c>
      <c r="J3287" t="s">
        <v>167</v>
      </c>
      <c r="K3287">
        <v>268</v>
      </c>
      <c r="M3287">
        <f t="shared" si="1221"/>
        <v>141.88235294117646</v>
      </c>
      <c r="N3287">
        <f t="shared" si="1222"/>
        <v>16.941176470588232</v>
      </c>
    </row>
    <row r="3288" spans="1:14" x14ac:dyDescent="0.25">
      <c r="A3288">
        <v>406</v>
      </c>
      <c r="B3288" s="1">
        <v>44102</v>
      </c>
      <c r="C3288" t="str">
        <f t="shared" si="1217"/>
        <v>septiembre</v>
      </c>
      <c r="D3288" t="s">
        <v>55</v>
      </c>
      <c r="F3288" t="s">
        <v>22</v>
      </c>
      <c r="G3288">
        <f>10/17</f>
        <v>0.58823529411764708</v>
      </c>
      <c r="H3288">
        <v>300</v>
      </c>
      <c r="I3288">
        <f t="shared" si="1220"/>
        <v>176.47058823529412</v>
      </c>
      <c r="J3288" t="s">
        <v>167</v>
      </c>
      <c r="K3288">
        <v>268</v>
      </c>
      <c r="M3288">
        <f t="shared" si="1221"/>
        <v>157.64705882352942</v>
      </c>
      <c r="N3288">
        <f t="shared" si="1222"/>
        <v>18.823529411764696</v>
      </c>
    </row>
    <row r="3289" spans="1:14" x14ac:dyDescent="0.25">
      <c r="A3289">
        <v>407</v>
      </c>
      <c r="B3289" s="1">
        <v>44102</v>
      </c>
      <c r="C3289" t="str">
        <f t="shared" si="1217"/>
        <v>septiembre</v>
      </c>
      <c r="D3289" t="s">
        <v>15</v>
      </c>
      <c r="F3289" t="s">
        <v>497</v>
      </c>
      <c r="G3289">
        <v>1</v>
      </c>
      <c r="H3289">
        <v>250</v>
      </c>
      <c r="I3289">
        <f t="shared" si="1220"/>
        <v>250</v>
      </c>
      <c r="J3289" t="s">
        <v>167</v>
      </c>
      <c r="K3289">
        <v>207</v>
      </c>
      <c r="M3289">
        <f t="shared" si="1221"/>
        <v>207</v>
      </c>
      <c r="N3289">
        <f t="shared" si="1222"/>
        <v>43</v>
      </c>
    </row>
    <row r="3290" spans="1:14" x14ac:dyDescent="0.25">
      <c r="A3290">
        <v>408</v>
      </c>
      <c r="B3290" s="1">
        <v>44102</v>
      </c>
      <c r="C3290" t="str">
        <f t="shared" si="1217"/>
        <v>septiembre</v>
      </c>
      <c r="D3290" t="s">
        <v>55</v>
      </c>
      <c r="F3290" t="s">
        <v>111</v>
      </c>
      <c r="G3290">
        <v>1</v>
      </c>
      <c r="H3290">
        <v>300</v>
      </c>
      <c r="I3290">
        <f t="shared" si="1220"/>
        <v>300</v>
      </c>
      <c r="J3290" t="s">
        <v>167</v>
      </c>
      <c r="K3290">
        <v>268</v>
      </c>
      <c r="M3290">
        <f t="shared" si="1221"/>
        <v>268</v>
      </c>
      <c r="N3290">
        <f t="shared" si="1222"/>
        <v>32</v>
      </c>
    </row>
    <row r="3291" spans="1:14" x14ac:dyDescent="0.25">
      <c r="A3291">
        <v>409</v>
      </c>
      <c r="B3291" s="1">
        <v>44103</v>
      </c>
      <c r="C3291" t="str">
        <f t="shared" si="1217"/>
        <v>septiembre</v>
      </c>
      <c r="D3291" t="s">
        <v>15</v>
      </c>
      <c r="F3291" t="s">
        <v>29</v>
      </c>
      <c r="G3291">
        <v>31</v>
      </c>
      <c r="H3291">
        <v>240</v>
      </c>
      <c r="I3291">
        <f t="shared" si="1220"/>
        <v>7440</v>
      </c>
      <c r="J3291" t="s">
        <v>163</v>
      </c>
      <c r="K3291">
        <v>211</v>
      </c>
      <c r="M3291">
        <f t="shared" si="1221"/>
        <v>6541</v>
      </c>
      <c r="N3291">
        <f t="shared" si="1222"/>
        <v>899</v>
      </c>
    </row>
    <row r="3292" spans="1:14" x14ac:dyDescent="0.25">
      <c r="A3292">
        <v>410</v>
      </c>
      <c r="B3292" s="1">
        <v>44103</v>
      </c>
      <c r="C3292" t="str">
        <f t="shared" si="1217"/>
        <v>septiembre</v>
      </c>
      <c r="D3292" t="s">
        <v>24</v>
      </c>
      <c r="F3292" t="s">
        <v>24</v>
      </c>
      <c r="G3292">
        <v>3.2</v>
      </c>
      <c r="H3292">
        <v>100</v>
      </c>
      <c r="I3292">
        <f t="shared" si="1220"/>
        <v>320</v>
      </c>
      <c r="J3292" t="s">
        <v>186</v>
      </c>
      <c r="K3292">
        <v>80</v>
      </c>
      <c r="M3292">
        <f t="shared" si="1221"/>
        <v>256</v>
      </c>
      <c r="N3292">
        <f t="shared" si="1222"/>
        <v>64</v>
      </c>
    </row>
    <row r="3293" spans="1:14" x14ac:dyDescent="0.25">
      <c r="A3293">
        <v>411</v>
      </c>
      <c r="B3293" s="1">
        <v>44103</v>
      </c>
      <c r="C3293" t="str">
        <f t="shared" si="1217"/>
        <v>septiembre</v>
      </c>
      <c r="D3293" t="s">
        <v>56</v>
      </c>
      <c r="F3293" t="s">
        <v>236</v>
      </c>
      <c r="G3293">
        <v>5</v>
      </c>
      <c r="H3293">
        <v>120</v>
      </c>
      <c r="I3293">
        <f t="shared" si="1220"/>
        <v>600</v>
      </c>
      <c r="J3293" t="s">
        <v>165</v>
      </c>
      <c r="K3293">
        <v>83</v>
      </c>
      <c r="M3293">
        <f t="shared" si="1221"/>
        <v>415</v>
      </c>
      <c r="N3293">
        <f t="shared" si="1222"/>
        <v>185</v>
      </c>
    </row>
    <row r="3294" spans="1:14" x14ac:dyDescent="0.25">
      <c r="A3294">
        <v>412</v>
      </c>
      <c r="B3294" s="1">
        <v>44103</v>
      </c>
      <c r="C3294" t="str">
        <f t="shared" ref="C3294:C3357" si="1223">+TEXT(B3294,"mmmm")</f>
        <v>septiembre</v>
      </c>
      <c r="D3294" t="s">
        <v>44</v>
      </c>
      <c r="F3294" t="s">
        <v>138</v>
      </c>
      <c r="G3294">
        <v>1</v>
      </c>
      <c r="H3294">
        <v>35</v>
      </c>
      <c r="I3294">
        <f t="shared" si="1220"/>
        <v>35</v>
      </c>
      <c r="J3294" t="s">
        <v>198</v>
      </c>
      <c r="K3294">
        <v>26</v>
      </c>
      <c r="M3294">
        <f t="shared" si="1221"/>
        <v>26</v>
      </c>
      <c r="N3294">
        <f t="shared" si="1222"/>
        <v>9</v>
      </c>
    </row>
    <row r="3295" spans="1:14" x14ac:dyDescent="0.25">
      <c r="A3295">
        <v>413</v>
      </c>
      <c r="B3295" s="1">
        <v>44103</v>
      </c>
      <c r="C3295" t="str">
        <f t="shared" si="1223"/>
        <v>septiembre</v>
      </c>
      <c r="D3295" t="s">
        <v>78</v>
      </c>
      <c r="F3295" t="s">
        <v>79</v>
      </c>
      <c r="G3295">
        <v>1</v>
      </c>
      <c r="H3295">
        <v>1550</v>
      </c>
      <c r="I3295">
        <f t="shared" si="1220"/>
        <v>1550</v>
      </c>
      <c r="J3295" t="s">
        <v>167</v>
      </c>
      <c r="K3295">
        <v>1330</v>
      </c>
      <c r="M3295">
        <f t="shared" si="1221"/>
        <v>1330</v>
      </c>
      <c r="N3295">
        <f t="shared" si="1222"/>
        <v>220</v>
      </c>
    </row>
    <row r="3296" spans="1:14" x14ac:dyDescent="0.25">
      <c r="A3296">
        <v>414</v>
      </c>
      <c r="B3296" s="1">
        <v>44103</v>
      </c>
      <c r="C3296" t="str">
        <f t="shared" si="1223"/>
        <v>septiembre</v>
      </c>
      <c r="D3296" t="s">
        <v>15</v>
      </c>
      <c r="F3296" t="s">
        <v>440</v>
      </c>
      <c r="G3296">
        <v>39</v>
      </c>
      <c r="H3296">
        <v>280</v>
      </c>
      <c r="I3296">
        <f t="shared" si="1220"/>
        <v>10920</v>
      </c>
      <c r="J3296" t="s">
        <v>163</v>
      </c>
      <c r="K3296">
        <v>260</v>
      </c>
      <c r="M3296">
        <f t="shared" si="1221"/>
        <v>10140</v>
      </c>
      <c r="N3296">
        <f t="shared" si="1222"/>
        <v>780</v>
      </c>
    </row>
    <row r="3297" spans="1:14" x14ac:dyDescent="0.25">
      <c r="A3297">
        <v>415</v>
      </c>
      <c r="B3297" s="1">
        <v>44103</v>
      </c>
      <c r="C3297" t="str">
        <f t="shared" si="1223"/>
        <v>septiembre</v>
      </c>
      <c r="D3297" t="s">
        <v>55</v>
      </c>
      <c r="F3297" t="s">
        <v>423</v>
      </c>
      <c r="G3297">
        <v>1</v>
      </c>
      <c r="H3297">
        <v>270</v>
      </c>
      <c r="I3297">
        <f t="shared" si="1220"/>
        <v>270</v>
      </c>
      <c r="J3297" t="s">
        <v>167</v>
      </c>
      <c r="K3297">
        <v>207</v>
      </c>
      <c r="M3297">
        <f t="shared" si="1221"/>
        <v>207</v>
      </c>
      <c r="N3297">
        <f t="shared" si="1222"/>
        <v>63</v>
      </c>
    </row>
    <row r="3298" spans="1:14" x14ac:dyDescent="0.25">
      <c r="A3298">
        <v>416</v>
      </c>
      <c r="B3298" s="1">
        <v>44103</v>
      </c>
      <c r="C3298" t="str">
        <f t="shared" si="1223"/>
        <v>septiembre</v>
      </c>
      <c r="D3298" t="s">
        <v>25</v>
      </c>
      <c r="F3298" t="s">
        <v>57</v>
      </c>
      <c r="G3298">
        <v>1</v>
      </c>
      <c r="H3298">
        <v>60</v>
      </c>
      <c r="I3298">
        <f t="shared" si="1220"/>
        <v>60</v>
      </c>
      <c r="J3298" t="s">
        <v>165</v>
      </c>
      <c r="K3298">
        <v>34</v>
      </c>
      <c r="M3298">
        <f t="shared" si="1221"/>
        <v>34</v>
      </c>
      <c r="N3298">
        <f t="shared" si="1222"/>
        <v>26</v>
      </c>
    </row>
    <row r="3299" spans="1:14" x14ac:dyDescent="0.25">
      <c r="A3299">
        <v>417</v>
      </c>
      <c r="B3299" s="1">
        <v>44103</v>
      </c>
      <c r="C3299" t="str">
        <f t="shared" si="1223"/>
        <v>septiembre</v>
      </c>
      <c r="D3299" t="s">
        <v>25</v>
      </c>
      <c r="F3299" t="s">
        <v>174</v>
      </c>
      <c r="G3299">
        <v>1</v>
      </c>
      <c r="H3299">
        <v>100</v>
      </c>
      <c r="I3299">
        <f t="shared" si="1220"/>
        <v>100</v>
      </c>
      <c r="J3299" t="s">
        <v>163</v>
      </c>
      <c r="K3299">
        <v>80</v>
      </c>
      <c r="M3299">
        <f t="shared" si="1221"/>
        <v>80</v>
      </c>
      <c r="N3299">
        <f t="shared" si="1222"/>
        <v>20</v>
      </c>
    </row>
    <row r="3300" spans="1:14" x14ac:dyDescent="0.25">
      <c r="A3300">
        <v>418</v>
      </c>
      <c r="B3300" s="1">
        <v>44103</v>
      </c>
      <c r="C3300" t="str">
        <f t="shared" si="1223"/>
        <v>septiembre</v>
      </c>
      <c r="D3300" t="s">
        <v>15</v>
      </c>
      <c r="F3300" t="s">
        <v>481</v>
      </c>
      <c r="G3300">
        <v>4</v>
      </c>
      <c r="H3300">
        <v>250</v>
      </c>
      <c r="I3300">
        <f t="shared" si="1220"/>
        <v>1000</v>
      </c>
      <c r="J3300" t="s">
        <v>163</v>
      </c>
      <c r="K3300">
        <v>220</v>
      </c>
      <c r="M3300">
        <f t="shared" si="1221"/>
        <v>880</v>
      </c>
      <c r="N3300">
        <f t="shared" si="1222"/>
        <v>120</v>
      </c>
    </row>
    <row r="3301" spans="1:14" x14ac:dyDescent="0.25">
      <c r="A3301">
        <v>419</v>
      </c>
      <c r="B3301" s="1">
        <v>44103</v>
      </c>
      <c r="C3301" t="str">
        <f t="shared" si="1223"/>
        <v>septiembre</v>
      </c>
      <c r="D3301" t="s">
        <v>15</v>
      </c>
      <c r="F3301" t="s">
        <v>29</v>
      </c>
      <c r="G3301">
        <v>9</v>
      </c>
      <c r="H3301">
        <v>240</v>
      </c>
      <c r="I3301">
        <f t="shared" si="1220"/>
        <v>2160</v>
      </c>
      <c r="J3301" t="s">
        <v>163</v>
      </c>
      <c r="K3301">
        <v>211</v>
      </c>
      <c r="M3301">
        <f t="shared" si="1221"/>
        <v>1899</v>
      </c>
      <c r="N3301">
        <f t="shared" si="1222"/>
        <v>261</v>
      </c>
    </row>
    <row r="3302" spans="1:14" x14ac:dyDescent="0.25">
      <c r="A3302">
        <v>420</v>
      </c>
      <c r="B3302" s="1">
        <v>44103</v>
      </c>
      <c r="C3302" t="str">
        <f t="shared" si="1223"/>
        <v>septiembre</v>
      </c>
      <c r="D3302" t="s">
        <v>25</v>
      </c>
      <c r="F3302" t="s">
        <v>127</v>
      </c>
      <c r="G3302">
        <v>1</v>
      </c>
      <c r="H3302">
        <v>60</v>
      </c>
      <c r="I3302">
        <f t="shared" si="1220"/>
        <v>60</v>
      </c>
      <c r="J3302" t="s">
        <v>165</v>
      </c>
      <c r="K3302">
        <v>34</v>
      </c>
      <c r="M3302">
        <f t="shared" si="1221"/>
        <v>34</v>
      </c>
      <c r="N3302">
        <f t="shared" si="1222"/>
        <v>26</v>
      </c>
    </row>
    <row r="3303" spans="1:14" x14ac:dyDescent="0.25">
      <c r="A3303">
        <v>421</v>
      </c>
      <c r="B3303" s="1">
        <v>44103</v>
      </c>
      <c r="C3303" t="str">
        <f t="shared" si="1223"/>
        <v>septiembre</v>
      </c>
      <c r="D3303" t="s">
        <v>15</v>
      </c>
      <c r="F3303" t="s">
        <v>29</v>
      </c>
      <c r="G3303">
        <v>20</v>
      </c>
      <c r="H3303">
        <v>240</v>
      </c>
      <c r="I3303">
        <f t="shared" si="1220"/>
        <v>4800</v>
      </c>
      <c r="J3303" t="s">
        <v>163</v>
      </c>
      <c r="K3303">
        <v>211</v>
      </c>
      <c r="M3303">
        <f t="shared" si="1221"/>
        <v>4220</v>
      </c>
      <c r="N3303">
        <f t="shared" si="1222"/>
        <v>580</v>
      </c>
    </row>
    <row r="3304" spans="1:14" x14ac:dyDescent="0.25">
      <c r="A3304">
        <v>422</v>
      </c>
      <c r="B3304" s="1">
        <v>44103</v>
      </c>
      <c r="C3304" t="str">
        <f t="shared" si="1223"/>
        <v>septiembre</v>
      </c>
      <c r="D3304" t="s">
        <v>56</v>
      </c>
      <c r="F3304" t="s">
        <v>267</v>
      </c>
      <c r="G3304">
        <v>4</v>
      </c>
      <c r="H3304">
        <v>170</v>
      </c>
      <c r="I3304">
        <f t="shared" si="1220"/>
        <v>680</v>
      </c>
      <c r="J3304" t="s">
        <v>163</v>
      </c>
      <c r="K3304">
        <v>123</v>
      </c>
      <c r="M3304">
        <f t="shared" si="1221"/>
        <v>492</v>
      </c>
      <c r="N3304">
        <f t="shared" si="1222"/>
        <v>188</v>
      </c>
    </row>
    <row r="3305" spans="1:14" x14ac:dyDescent="0.25">
      <c r="A3305">
        <v>423</v>
      </c>
      <c r="B3305" s="1">
        <v>44103</v>
      </c>
      <c r="C3305" t="str">
        <f t="shared" si="1223"/>
        <v>septiembre</v>
      </c>
      <c r="D3305" t="s">
        <v>44</v>
      </c>
      <c r="F3305" t="s">
        <v>138</v>
      </c>
      <c r="G3305">
        <v>1</v>
      </c>
      <c r="H3305">
        <v>35</v>
      </c>
      <c r="I3305">
        <f t="shared" si="1220"/>
        <v>35</v>
      </c>
      <c r="J3305" t="s">
        <v>198</v>
      </c>
      <c r="K3305">
        <v>26</v>
      </c>
      <c r="M3305">
        <f t="shared" si="1221"/>
        <v>26</v>
      </c>
      <c r="N3305">
        <f t="shared" si="1222"/>
        <v>9</v>
      </c>
    </row>
    <row r="3306" spans="1:14" x14ac:dyDescent="0.25">
      <c r="A3306">
        <v>424</v>
      </c>
      <c r="B3306" s="1">
        <v>44103</v>
      </c>
      <c r="C3306" t="str">
        <f t="shared" si="1223"/>
        <v>septiembre</v>
      </c>
      <c r="D3306" t="s">
        <v>25</v>
      </c>
      <c r="F3306" t="s">
        <v>127</v>
      </c>
      <c r="G3306">
        <v>2</v>
      </c>
      <c r="H3306">
        <v>60</v>
      </c>
      <c r="I3306">
        <f t="shared" si="1220"/>
        <v>120</v>
      </c>
      <c r="J3306" t="s">
        <v>165</v>
      </c>
      <c r="K3306">
        <v>34</v>
      </c>
      <c r="M3306">
        <f t="shared" si="1221"/>
        <v>68</v>
      </c>
      <c r="N3306">
        <f t="shared" si="1222"/>
        <v>52</v>
      </c>
    </row>
    <row r="3307" spans="1:14" x14ac:dyDescent="0.25">
      <c r="A3307">
        <v>425</v>
      </c>
      <c r="B3307" s="1">
        <v>44104</v>
      </c>
      <c r="C3307" t="str">
        <f t="shared" si="1223"/>
        <v>septiembre</v>
      </c>
      <c r="D3307" t="s">
        <v>15</v>
      </c>
      <c r="F3307" t="s">
        <v>481</v>
      </c>
      <c r="G3307">
        <f>7/18*2.15</f>
        <v>0.83611111111111114</v>
      </c>
      <c r="H3307">
        <v>250</v>
      </c>
      <c r="I3307">
        <f t="shared" si="1220"/>
        <v>209.02777777777777</v>
      </c>
      <c r="J3307" t="s">
        <v>163</v>
      </c>
      <c r="K3307">
        <v>220</v>
      </c>
      <c r="M3307">
        <f t="shared" si="1221"/>
        <v>183.94444444444446</v>
      </c>
      <c r="N3307">
        <f t="shared" si="1222"/>
        <v>25.083333333333314</v>
      </c>
    </row>
    <row r="3308" spans="1:14" x14ac:dyDescent="0.25">
      <c r="A3308">
        <v>426</v>
      </c>
      <c r="B3308" s="1">
        <v>44104</v>
      </c>
      <c r="C3308" t="str">
        <f t="shared" si="1223"/>
        <v>septiembre</v>
      </c>
      <c r="D3308" t="s">
        <v>44</v>
      </c>
      <c r="F3308" t="s">
        <v>387</v>
      </c>
      <c r="G3308">
        <v>1</v>
      </c>
      <c r="H3308">
        <v>35</v>
      </c>
      <c r="I3308">
        <f t="shared" si="1220"/>
        <v>35</v>
      </c>
      <c r="J3308" t="s">
        <v>237</v>
      </c>
      <c r="K3308">
        <v>22</v>
      </c>
      <c r="M3308">
        <f t="shared" si="1221"/>
        <v>22</v>
      </c>
      <c r="N3308">
        <f t="shared" si="1222"/>
        <v>13</v>
      </c>
    </row>
    <row r="3309" spans="1:14" x14ac:dyDescent="0.25">
      <c r="A3309">
        <v>427</v>
      </c>
      <c r="B3309" s="1">
        <v>44104</v>
      </c>
      <c r="C3309" t="str">
        <f t="shared" si="1223"/>
        <v>septiembre</v>
      </c>
      <c r="D3309" t="s">
        <v>15</v>
      </c>
      <c r="F3309" t="s">
        <v>19</v>
      </c>
      <c r="G3309">
        <f>2/9</f>
        <v>0.22222222222222221</v>
      </c>
      <c r="H3309">
        <v>300</v>
      </c>
      <c r="I3309">
        <f t="shared" si="1220"/>
        <v>66.666666666666657</v>
      </c>
      <c r="J3309" t="s">
        <v>167</v>
      </c>
      <c r="K3309">
        <v>268</v>
      </c>
      <c r="M3309">
        <f t="shared" si="1221"/>
        <v>59.55555555555555</v>
      </c>
      <c r="N3309">
        <f t="shared" si="1222"/>
        <v>7.1111111111111072</v>
      </c>
    </row>
    <row r="3310" spans="1:14" x14ac:dyDescent="0.25">
      <c r="A3310">
        <v>428</v>
      </c>
      <c r="B3310" s="1">
        <v>44104</v>
      </c>
      <c r="C3310" t="str">
        <f t="shared" si="1223"/>
        <v>septiembre</v>
      </c>
      <c r="D3310" t="s">
        <v>15</v>
      </c>
      <c r="F3310" t="s">
        <v>481</v>
      </c>
      <c r="G3310">
        <v>2.98</v>
      </c>
      <c r="H3310">
        <v>250</v>
      </c>
      <c r="I3310">
        <f t="shared" si="1220"/>
        <v>745</v>
      </c>
      <c r="J3310" t="s">
        <v>163</v>
      </c>
      <c r="K3310">
        <v>220</v>
      </c>
      <c r="M3310">
        <f t="shared" si="1221"/>
        <v>655.6</v>
      </c>
      <c r="N3310">
        <f t="shared" si="1222"/>
        <v>89.399999999999977</v>
      </c>
    </row>
    <row r="3311" spans="1:14" x14ac:dyDescent="0.25">
      <c r="A3311">
        <v>429</v>
      </c>
      <c r="B3311" s="1">
        <v>44104</v>
      </c>
      <c r="C3311" t="str">
        <f t="shared" si="1223"/>
        <v>septiembre</v>
      </c>
      <c r="D3311" t="s">
        <v>56</v>
      </c>
      <c r="F3311" t="s">
        <v>267</v>
      </c>
      <c r="G3311">
        <v>1</v>
      </c>
      <c r="H3311">
        <v>170</v>
      </c>
      <c r="I3311">
        <f t="shared" si="1220"/>
        <v>170</v>
      </c>
      <c r="J3311" t="s">
        <v>163</v>
      </c>
      <c r="K3311">
        <v>123</v>
      </c>
      <c r="M3311">
        <f t="shared" si="1221"/>
        <v>123</v>
      </c>
      <c r="N3311">
        <f t="shared" si="1222"/>
        <v>47</v>
      </c>
    </row>
    <row r="3312" spans="1:14" x14ac:dyDescent="0.25">
      <c r="A3312">
        <v>430</v>
      </c>
      <c r="B3312" s="1">
        <v>44104</v>
      </c>
      <c r="C3312" t="str">
        <f t="shared" si="1223"/>
        <v>septiembre</v>
      </c>
      <c r="D3312" t="s">
        <v>25</v>
      </c>
      <c r="F3312" t="s">
        <v>58</v>
      </c>
      <c r="G3312">
        <v>1</v>
      </c>
      <c r="H3312">
        <v>60</v>
      </c>
      <c r="I3312">
        <f t="shared" si="1220"/>
        <v>60</v>
      </c>
      <c r="J3312" t="s">
        <v>165</v>
      </c>
      <c r="K3312">
        <v>34</v>
      </c>
      <c r="M3312">
        <f t="shared" si="1221"/>
        <v>34</v>
      </c>
      <c r="N3312">
        <f t="shared" si="1222"/>
        <v>26</v>
      </c>
    </row>
    <row r="3313" spans="1:14" x14ac:dyDescent="0.25">
      <c r="A3313">
        <v>431</v>
      </c>
      <c r="B3313" s="1">
        <v>44104</v>
      </c>
      <c r="C3313" t="str">
        <f t="shared" si="1223"/>
        <v>septiembre</v>
      </c>
      <c r="D3313" t="s">
        <v>15</v>
      </c>
      <c r="F3313" t="s">
        <v>343</v>
      </c>
      <c r="G3313">
        <f>1/10</f>
        <v>0.1</v>
      </c>
      <c r="H3313">
        <v>280</v>
      </c>
      <c r="I3313">
        <f t="shared" si="1220"/>
        <v>28</v>
      </c>
      <c r="J3313" t="s">
        <v>167</v>
      </c>
      <c r="K3313">
        <v>260</v>
      </c>
      <c r="M3313">
        <f t="shared" si="1221"/>
        <v>26</v>
      </c>
      <c r="N3313">
        <f t="shared" si="1222"/>
        <v>2</v>
      </c>
    </row>
    <row r="3314" spans="1:14" x14ac:dyDescent="0.25">
      <c r="A3314">
        <v>432</v>
      </c>
      <c r="B3314" s="1">
        <v>44104</v>
      </c>
      <c r="C3314" t="str">
        <f t="shared" si="1223"/>
        <v>septiembre</v>
      </c>
      <c r="D3314" t="s">
        <v>15</v>
      </c>
      <c r="F3314" t="s">
        <v>497</v>
      </c>
      <c r="G3314">
        <f>1/10</f>
        <v>0.1</v>
      </c>
      <c r="H3314">
        <v>250</v>
      </c>
      <c r="I3314">
        <f t="shared" si="1220"/>
        <v>25</v>
      </c>
      <c r="J3314" t="s">
        <v>167</v>
      </c>
      <c r="K3314">
        <v>207</v>
      </c>
      <c r="M3314">
        <f t="shared" si="1221"/>
        <v>20.700000000000003</v>
      </c>
      <c r="N3314">
        <f t="shared" si="1222"/>
        <v>4.2999999999999972</v>
      </c>
    </row>
    <row r="3315" spans="1:14" x14ac:dyDescent="0.25">
      <c r="A3315">
        <v>433</v>
      </c>
      <c r="B3315" s="1">
        <v>44104</v>
      </c>
      <c r="C3315" t="str">
        <f t="shared" si="1223"/>
        <v>septiembre</v>
      </c>
      <c r="D3315" t="s">
        <v>26</v>
      </c>
      <c r="F3315" t="s">
        <v>144</v>
      </c>
      <c r="G3315">
        <f>15/4*1.44</f>
        <v>5.3999999999999995</v>
      </c>
      <c r="H3315">
        <v>425</v>
      </c>
      <c r="I3315">
        <f t="shared" si="1220"/>
        <v>2295</v>
      </c>
      <c r="J3315" t="s">
        <v>167</v>
      </c>
      <c r="K3315">
        <v>350</v>
      </c>
      <c r="M3315">
        <f t="shared" si="1221"/>
        <v>1889.9999999999998</v>
      </c>
      <c r="N3315">
        <f t="shared" si="1222"/>
        <v>405.00000000000023</v>
      </c>
    </row>
    <row r="3316" spans="1:14" x14ac:dyDescent="0.25">
      <c r="A3316">
        <v>434</v>
      </c>
      <c r="B3316" s="1">
        <v>44104</v>
      </c>
      <c r="C3316" t="str">
        <f t="shared" si="1223"/>
        <v>septiembre</v>
      </c>
      <c r="D3316" t="s">
        <v>55</v>
      </c>
      <c r="F3316" t="s">
        <v>416</v>
      </c>
      <c r="G3316">
        <v>3</v>
      </c>
      <c r="H3316">
        <v>270</v>
      </c>
      <c r="I3316">
        <f t="shared" si="1220"/>
        <v>810</v>
      </c>
      <c r="J3316" t="s">
        <v>167</v>
      </c>
      <c r="K3316">
        <v>207</v>
      </c>
      <c r="M3316">
        <f t="shared" si="1221"/>
        <v>621</v>
      </c>
      <c r="N3316">
        <f t="shared" si="1222"/>
        <v>189</v>
      </c>
    </row>
    <row r="3317" spans="1:14" x14ac:dyDescent="0.25">
      <c r="A3317">
        <v>435</v>
      </c>
      <c r="B3317" s="1">
        <v>44104</v>
      </c>
      <c r="C3317" t="str">
        <f t="shared" si="1223"/>
        <v>septiembre</v>
      </c>
      <c r="D3317" t="s">
        <v>15</v>
      </c>
      <c r="F3317" t="s">
        <v>131</v>
      </c>
      <c r="G3317">
        <f>4/9</f>
        <v>0.44444444444444442</v>
      </c>
      <c r="H3317">
        <v>300</v>
      </c>
      <c r="I3317">
        <f t="shared" si="1220"/>
        <v>133.33333333333331</v>
      </c>
      <c r="J3317" t="s">
        <v>167</v>
      </c>
      <c r="K3317">
        <v>268</v>
      </c>
      <c r="M3317">
        <f t="shared" si="1221"/>
        <v>119.1111111111111</v>
      </c>
      <c r="N3317">
        <f t="shared" si="1222"/>
        <v>14.222222222222214</v>
      </c>
    </row>
    <row r="3318" spans="1:14" x14ac:dyDescent="0.25">
      <c r="A3318">
        <v>436</v>
      </c>
      <c r="B3318" s="1">
        <v>44104</v>
      </c>
      <c r="C3318" t="str">
        <f t="shared" si="1223"/>
        <v>septiembre</v>
      </c>
      <c r="D3318" t="s">
        <v>25</v>
      </c>
      <c r="F3318" t="s">
        <v>130</v>
      </c>
      <c r="G3318">
        <v>1</v>
      </c>
      <c r="H3318">
        <v>60</v>
      </c>
      <c r="I3318">
        <f t="shared" si="1220"/>
        <v>60</v>
      </c>
      <c r="J3318" t="s">
        <v>165</v>
      </c>
      <c r="K3318">
        <v>34</v>
      </c>
      <c r="M3318">
        <f t="shared" si="1221"/>
        <v>34</v>
      </c>
      <c r="N3318">
        <f t="shared" si="1222"/>
        <v>26</v>
      </c>
    </row>
    <row r="3319" spans="1:14" x14ac:dyDescent="0.25">
      <c r="A3319">
        <v>437</v>
      </c>
      <c r="B3319" s="1">
        <v>44104</v>
      </c>
      <c r="C3319" t="str">
        <f t="shared" si="1223"/>
        <v>septiembre</v>
      </c>
      <c r="D3319" t="s">
        <v>55</v>
      </c>
      <c r="F3319" t="s">
        <v>416</v>
      </c>
      <c r="G3319">
        <f>5/16</f>
        <v>0.3125</v>
      </c>
      <c r="H3319">
        <v>270</v>
      </c>
      <c r="I3319">
        <f t="shared" si="1220"/>
        <v>84.375</v>
      </c>
      <c r="J3319" t="s">
        <v>167</v>
      </c>
      <c r="K3319">
        <v>207</v>
      </c>
      <c r="M3319">
        <f t="shared" si="1221"/>
        <v>64.6875</v>
      </c>
      <c r="N3319">
        <f t="shared" si="1222"/>
        <v>19.6875</v>
      </c>
    </row>
    <row r="3320" spans="1:14" x14ac:dyDescent="0.25">
      <c r="A3320">
        <v>438</v>
      </c>
      <c r="B3320" s="1">
        <v>44104</v>
      </c>
      <c r="C3320" t="str">
        <f t="shared" si="1223"/>
        <v>septiembre</v>
      </c>
      <c r="D3320" t="s">
        <v>15</v>
      </c>
      <c r="F3320" t="s">
        <v>29</v>
      </c>
      <c r="G3320">
        <v>37</v>
      </c>
      <c r="H3320">
        <v>240</v>
      </c>
      <c r="I3320">
        <f t="shared" si="1220"/>
        <v>8880</v>
      </c>
      <c r="J3320" t="s">
        <v>163</v>
      </c>
      <c r="K3320">
        <v>211</v>
      </c>
      <c r="M3320">
        <f t="shared" si="1221"/>
        <v>7807</v>
      </c>
      <c r="N3320">
        <f t="shared" si="1222"/>
        <v>1073</v>
      </c>
    </row>
    <row r="3321" spans="1:14" x14ac:dyDescent="0.25">
      <c r="A3321">
        <v>1</v>
      </c>
      <c r="B3321" s="1">
        <v>44105</v>
      </c>
      <c r="C3321" t="str">
        <f t="shared" si="1223"/>
        <v>octubre</v>
      </c>
      <c r="D3321" t="s">
        <v>25</v>
      </c>
      <c r="F3321" t="s">
        <v>156</v>
      </c>
      <c r="G3321">
        <v>1</v>
      </c>
      <c r="H3321">
        <v>60</v>
      </c>
      <c r="I3321">
        <f t="shared" si="1220"/>
        <v>60</v>
      </c>
      <c r="J3321" t="s">
        <v>165</v>
      </c>
      <c r="K3321">
        <v>34</v>
      </c>
      <c r="M3321">
        <f t="shared" si="1221"/>
        <v>34</v>
      </c>
      <c r="N3321">
        <f t="shared" si="1222"/>
        <v>26</v>
      </c>
    </row>
    <row r="3322" spans="1:14" x14ac:dyDescent="0.25">
      <c r="A3322">
        <v>2</v>
      </c>
      <c r="B3322" s="1">
        <v>44105</v>
      </c>
      <c r="C3322" t="str">
        <f t="shared" si="1223"/>
        <v>octubre</v>
      </c>
      <c r="D3322" t="s">
        <v>24</v>
      </c>
      <c r="F3322" t="s">
        <v>24</v>
      </c>
      <c r="G3322">
        <v>2</v>
      </c>
      <c r="H3322">
        <v>100</v>
      </c>
      <c r="I3322">
        <f t="shared" si="1220"/>
        <v>200</v>
      </c>
      <c r="J3322" t="s">
        <v>186</v>
      </c>
      <c r="K3322">
        <v>80</v>
      </c>
      <c r="M3322">
        <f t="shared" si="1221"/>
        <v>160</v>
      </c>
      <c r="N3322">
        <f t="shared" si="1222"/>
        <v>40</v>
      </c>
    </row>
    <row r="3323" spans="1:14" x14ac:dyDescent="0.25">
      <c r="A3323">
        <v>3</v>
      </c>
      <c r="B3323" s="1">
        <v>44105</v>
      </c>
      <c r="C3323" t="str">
        <f t="shared" si="1223"/>
        <v>octubre</v>
      </c>
      <c r="D3323" t="s">
        <v>26</v>
      </c>
      <c r="F3323" t="s">
        <v>498</v>
      </c>
      <c r="G3323">
        <v>13</v>
      </c>
      <c r="H3323">
        <v>410</v>
      </c>
      <c r="I3323">
        <f t="shared" si="1220"/>
        <v>5330</v>
      </c>
      <c r="J3323" t="s">
        <v>167</v>
      </c>
      <c r="K3323">
        <v>350</v>
      </c>
      <c r="M3323">
        <f t="shared" si="1221"/>
        <v>4550</v>
      </c>
      <c r="N3323">
        <f t="shared" si="1222"/>
        <v>780</v>
      </c>
    </row>
    <row r="3324" spans="1:14" x14ac:dyDescent="0.25">
      <c r="A3324">
        <v>4</v>
      </c>
      <c r="B3324" s="1">
        <v>44105</v>
      </c>
      <c r="C3324" t="str">
        <f t="shared" si="1223"/>
        <v>octubre</v>
      </c>
      <c r="D3324" t="s">
        <v>56</v>
      </c>
      <c r="F3324" t="s">
        <v>176</v>
      </c>
      <c r="G3324">
        <v>5</v>
      </c>
      <c r="H3324">
        <v>260</v>
      </c>
      <c r="I3324">
        <f t="shared" si="1220"/>
        <v>1300</v>
      </c>
      <c r="J3324" t="s">
        <v>163</v>
      </c>
      <c r="K3324">
        <v>200</v>
      </c>
      <c r="M3324">
        <f t="shared" si="1221"/>
        <v>1000</v>
      </c>
      <c r="N3324">
        <f t="shared" si="1222"/>
        <v>300</v>
      </c>
    </row>
    <row r="3325" spans="1:14" x14ac:dyDescent="0.25">
      <c r="A3325">
        <v>5</v>
      </c>
      <c r="B3325" s="1">
        <v>44105</v>
      </c>
      <c r="C3325" t="str">
        <f t="shared" si="1223"/>
        <v>octubre</v>
      </c>
      <c r="D3325" t="s">
        <v>55</v>
      </c>
      <c r="F3325" t="s">
        <v>416</v>
      </c>
      <c r="G3325">
        <f>1/16</f>
        <v>6.25E-2</v>
      </c>
      <c r="H3325">
        <v>270</v>
      </c>
      <c r="I3325">
        <f t="shared" si="1220"/>
        <v>16.875</v>
      </c>
      <c r="J3325" t="s">
        <v>167</v>
      </c>
      <c r="K3325">
        <v>207</v>
      </c>
      <c r="M3325">
        <f t="shared" si="1221"/>
        <v>12.9375</v>
      </c>
      <c r="N3325">
        <f t="shared" si="1222"/>
        <v>3.9375</v>
      </c>
    </row>
    <row r="3326" spans="1:14" x14ac:dyDescent="0.25">
      <c r="A3326">
        <v>6</v>
      </c>
      <c r="B3326" s="1">
        <v>44105</v>
      </c>
      <c r="C3326" t="str">
        <f t="shared" si="1223"/>
        <v>octubre</v>
      </c>
      <c r="D3326" t="s">
        <v>70</v>
      </c>
      <c r="F3326" t="s">
        <v>227</v>
      </c>
      <c r="G3326">
        <v>1</v>
      </c>
      <c r="H3326">
        <v>1650</v>
      </c>
      <c r="I3326">
        <f t="shared" si="1220"/>
        <v>1650</v>
      </c>
      <c r="J3326" t="s">
        <v>167</v>
      </c>
      <c r="K3326">
        <v>1440</v>
      </c>
      <c r="M3326">
        <f t="shared" si="1221"/>
        <v>1440</v>
      </c>
      <c r="N3326">
        <f t="shared" si="1222"/>
        <v>210</v>
      </c>
    </row>
    <row r="3327" spans="1:14" x14ac:dyDescent="0.25">
      <c r="A3327">
        <v>7</v>
      </c>
      <c r="B3327" s="1">
        <v>44105</v>
      </c>
      <c r="C3327" t="str">
        <f t="shared" si="1223"/>
        <v>octubre</v>
      </c>
      <c r="D3327" t="s">
        <v>15</v>
      </c>
      <c r="F3327" t="s">
        <v>32</v>
      </c>
      <c r="G3327">
        <v>4</v>
      </c>
      <c r="H3327">
        <v>280</v>
      </c>
      <c r="I3327">
        <f t="shared" ref="I3327:I3401" si="1224">+G3327*H3327</f>
        <v>1120</v>
      </c>
      <c r="J3327" t="s">
        <v>163</v>
      </c>
      <c r="K3327">
        <v>243</v>
      </c>
      <c r="M3327">
        <f t="shared" si="1221"/>
        <v>972</v>
      </c>
      <c r="N3327">
        <f t="shared" si="1222"/>
        <v>148</v>
      </c>
    </row>
    <row r="3328" spans="1:14" x14ac:dyDescent="0.25">
      <c r="A3328">
        <v>8</v>
      </c>
      <c r="B3328" s="1">
        <v>44105</v>
      </c>
      <c r="C3328" t="str">
        <f t="shared" si="1223"/>
        <v>octubre</v>
      </c>
      <c r="D3328" t="s">
        <v>25</v>
      </c>
      <c r="F3328" t="s">
        <v>147</v>
      </c>
      <c r="G3328">
        <v>1</v>
      </c>
      <c r="H3328">
        <v>60</v>
      </c>
      <c r="I3328">
        <f t="shared" si="1224"/>
        <v>60</v>
      </c>
      <c r="J3328" t="s">
        <v>165</v>
      </c>
      <c r="K3328">
        <v>34</v>
      </c>
      <c r="M3328">
        <f t="shared" si="1221"/>
        <v>34</v>
      </c>
      <c r="N3328">
        <f t="shared" si="1222"/>
        <v>26</v>
      </c>
    </row>
    <row r="3329" spans="1:14" x14ac:dyDescent="0.25">
      <c r="A3329">
        <v>9</v>
      </c>
      <c r="B3329" s="1">
        <v>44105</v>
      </c>
      <c r="C3329" t="str">
        <f t="shared" si="1223"/>
        <v>octubre</v>
      </c>
      <c r="D3329" t="s">
        <v>44</v>
      </c>
      <c r="F3329" t="s">
        <v>138</v>
      </c>
      <c r="G3329">
        <v>1</v>
      </c>
      <c r="H3329">
        <v>35</v>
      </c>
      <c r="I3329">
        <f t="shared" si="1224"/>
        <v>35</v>
      </c>
      <c r="J3329" t="s">
        <v>198</v>
      </c>
      <c r="K3329">
        <v>26</v>
      </c>
      <c r="M3329">
        <f t="shared" si="1221"/>
        <v>26</v>
      </c>
      <c r="N3329">
        <f t="shared" si="1222"/>
        <v>9</v>
      </c>
    </row>
    <row r="3330" spans="1:14" x14ac:dyDescent="0.25">
      <c r="A3330">
        <v>10</v>
      </c>
      <c r="B3330" s="1">
        <v>44105</v>
      </c>
      <c r="C3330" t="str">
        <f t="shared" si="1223"/>
        <v>octubre</v>
      </c>
      <c r="D3330" t="s">
        <v>25</v>
      </c>
      <c r="F3330" t="s">
        <v>127</v>
      </c>
      <c r="G3330">
        <v>1</v>
      </c>
      <c r="H3330">
        <v>60</v>
      </c>
      <c r="I3330">
        <f t="shared" si="1224"/>
        <v>60</v>
      </c>
      <c r="J3330" t="s">
        <v>165</v>
      </c>
      <c r="K3330">
        <v>34</v>
      </c>
      <c r="M3330">
        <f t="shared" si="1221"/>
        <v>34</v>
      </c>
      <c r="N3330">
        <f t="shared" si="1222"/>
        <v>26</v>
      </c>
    </row>
    <row r="3331" spans="1:14" x14ac:dyDescent="0.25">
      <c r="A3331">
        <v>11</v>
      </c>
      <c r="B3331" s="1">
        <v>44105</v>
      </c>
      <c r="C3331" t="str">
        <f t="shared" si="1223"/>
        <v>octubre</v>
      </c>
      <c r="D3331" t="s">
        <v>25</v>
      </c>
      <c r="F3331" t="s">
        <v>57</v>
      </c>
      <c r="G3331">
        <v>1</v>
      </c>
      <c r="H3331">
        <v>60</v>
      </c>
      <c r="I3331">
        <f t="shared" si="1224"/>
        <v>60</v>
      </c>
      <c r="J3331" t="s">
        <v>165</v>
      </c>
      <c r="K3331">
        <v>34</v>
      </c>
      <c r="M3331">
        <f t="shared" si="1221"/>
        <v>34</v>
      </c>
      <c r="N3331">
        <f t="shared" si="1222"/>
        <v>26</v>
      </c>
    </row>
    <row r="3332" spans="1:14" x14ac:dyDescent="0.25">
      <c r="A3332">
        <v>12</v>
      </c>
      <c r="B3332" s="1">
        <v>44105</v>
      </c>
      <c r="C3332" t="str">
        <f t="shared" si="1223"/>
        <v>octubre</v>
      </c>
      <c r="D3332" t="s">
        <v>44</v>
      </c>
      <c r="F3332" t="s">
        <v>412</v>
      </c>
      <c r="G3332">
        <v>1</v>
      </c>
      <c r="H3332">
        <v>35</v>
      </c>
      <c r="I3332">
        <f t="shared" si="1224"/>
        <v>35</v>
      </c>
      <c r="J3332" t="s">
        <v>198</v>
      </c>
      <c r="K3332">
        <v>20</v>
      </c>
      <c r="M3332">
        <f t="shared" si="1221"/>
        <v>20</v>
      </c>
      <c r="N3332">
        <f t="shared" si="1222"/>
        <v>15</v>
      </c>
    </row>
    <row r="3333" spans="1:14" x14ac:dyDescent="0.25">
      <c r="A3333">
        <v>13</v>
      </c>
      <c r="B3333" s="1">
        <v>44105</v>
      </c>
      <c r="C3333" t="str">
        <f t="shared" si="1223"/>
        <v>octubre</v>
      </c>
      <c r="D3333" t="s">
        <v>25</v>
      </c>
      <c r="F3333" t="s">
        <v>72</v>
      </c>
      <c r="G3333">
        <v>1</v>
      </c>
      <c r="H3333">
        <v>60</v>
      </c>
      <c r="I3333">
        <f t="shared" si="1224"/>
        <v>60</v>
      </c>
      <c r="J3333" t="s">
        <v>165</v>
      </c>
      <c r="K3333">
        <v>34</v>
      </c>
      <c r="M3333">
        <f t="shared" si="1221"/>
        <v>34</v>
      </c>
      <c r="N3333">
        <f t="shared" si="1222"/>
        <v>26</v>
      </c>
    </row>
    <row r="3334" spans="1:14" x14ac:dyDescent="0.25">
      <c r="A3334">
        <v>14</v>
      </c>
      <c r="B3334" s="1">
        <v>44106</v>
      </c>
      <c r="C3334" t="str">
        <f t="shared" si="1223"/>
        <v>octubre</v>
      </c>
      <c r="D3334" t="s">
        <v>15</v>
      </c>
      <c r="F3334" t="s">
        <v>440</v>
      </c>
      <c r="G3334">
        <v>11</v>
      </c>
      <c r="H3334">
        <v>280</v>
      </c>
      <c r="I3334">
        <f t="shared" si="1224"/>
        <v>3080</v>
      </c>
      <c r="J3334" t="s">
        <v>163</v>
      </c>
      <c r="K3334">
        <v>260</v>
      </c>
      <c r="M3334">
        <f t="shared" si="1221"/>
        <v>2860</v>
      </c>
      <c r="N3334">
        <f t="shared" si="1222"/>
        <v>220</v>
      </c>
    </row>
    <row r="3335" spans="1:14" x14ac:dyDescent="0.25">
      <c r="A3335">
        <v>15</v>
      </c>
      <c r="B3335" s="1">
        <v>44106</v>
      </c>
      <c r="C3335" t="str">
        <f t="shared" si="1223"/>
        <v>octubre</v>
      </c>
      <c r="D3335" t="s">
        <v>92</v>
      </c>
      <c r="F3335" t="s">
        <v>293</v>
      </c>
      <c r="G3335">
        <v>1</v>
      </c>
      <c r="H3335">
        <v>350</v>
      </c>
      <c r="I3335">
        <f t="shared" si="1224"/>
        <v>350</v>
      </c>
      <c r="J3335" t="s">
        <v>166</v>
      </c>
      <c r="K3335">
        <v>230</v>
      </c>
      <c r="M3335">
        <f t="shared" si="1221"/>
        <v>230</v>
      </c>
      <c r="N3335">
        <f t="shared" si="1222"/>
        <v>120</v>
      </c>
    </row>
    <row r="3336" spans="1:14" x14ac:dyDescent="0.25">
      <c r="A3336">
        <v>16</v>
      </c>
      <c r="B3336" s="1">
        <v>44106</v>
      </c>
      <c r="C3336" t="str">
        <f t="shared" si="1223"/>
        <v>octubre</v>
      </c>
      <c r="D3336" t="s">
        <v>92</v>
      </c>
      <c r="F3336" t="s">
        <v>91</v>
      </c>
      <c r="G3336">
        <v>1</v>
      </c>
      <c r="H3336">
        <v>35</v>
      </c>
      <c r="I3336">
        <f t="shared" si="1224"/>
        <v>35</v>
      </c>
      <c r="J3336" t="s">
        <v>166</v>
      </c>
      <c r="K3336">
        <v>28</v>
      </c>
      <c r="M3336">
        <f t="shared" si="1221"/>
        <v>28</v>
      </c>
      <c r="N3336">
        <f t="shared" si="1222"/>
        <v>7</v>
      </c>
    </row>
    <row r="3337" spans="1:14" x14ac:dyDescent="0.25">
      <c r="A3337">
        <v>17</v>
      </c>
      <c r="B3337" s="1">
        <v>44106</v>
      </c>
      <c r="C3337" t="str">
        <f t="shared" si="1223"/>
        <v>octubre</v>
      </c>
      <c r="D3337" t="s">
        <v>15</v>
      </c>
      <c r="F3337" t="s">
        <v>19</v>
      </c>
      <c r="G3337">
        <v>21</v>
      </c>
      <c r="H3337">
        <v>295</v>
      </c>
      <c r="I3337">
        <f t="shared" si="1224"/>
        <v>6195</v>
      </c>
      <c r="J3337" t="s">
        <v>167</v>
      </c>
      <c r="K3337">
        <v>268</v>
      </c>
      <c r="M3337">
        <f t="shared" ref="M3337:M3370" si="1225">+IF(K3337=0,(""),(K3337*G3337))</f>
        <v>5628</v>
      </c>
      <c r="N3337">
        <f t="shared" ref="N3337:N3370" si="1226">+IF(K3337=0,(""),(I3337-M3337))</f>
        <v>567</v>
      </c>
    </row>
    <row r="3338" spans="1:14" x14ac:dyDescent="0.25">
      <c r="A3338">
        <v>18</v>
      </c>
      <c r="B3338" s="1">
        <v>44106</v>
      </c>
      <c r="C3338" t="str">
        <f t="shared" si="1223"/>
        <v>octubre</v>
      </c>
      <c r="D3338" t="s">
        <v>15</v>
      </c>
      <c r="F3338" t="s">
        <v>153</v>
      </c>
      <c r="G3338">
        <f>3/9</f>
        <v>0.33333333333333331</v>
      </c>
      <c r="H3338">
        <v>290</v>
      </c>
      <c r="I3338">
        <f t="shared" si="1224"/>
        <v>96.666666666666657</v>
      </c>
      <c r="J3338" t="s">
        <v>163</v>
      </c>
      <c r="K3338">
        <v>248</v>
      </c>
      <c r="M3338">
        <f t="shared" si="1225"/>
        <v>82.666666666666657</v>
      </c>
      <c r="N3338">
        <f t="shared" si="1226"/>
        <v>14</v>
      </c>
    </row>
    <row r="3339" spans="1:14" x14ac:dyDescent="0.25">
      <c r="A3339">
        <v>19</v>
      </c>
      <c r="B3339" s="1">
        <v>44106</v>
      </c>
      <c r="C3339" t="str">
        <f t="shared" si="1223"/>
        <v>octubre</v>
      </c>
      <c r="D3339" t="s">
        <v>25</v>
      </c>
      <c r="F3339" t="s">
        <v>127</v>
      </c>
      <c r="G3339">
        <v>3</v>
      </c>
      <c r="H3339">
        <v>60</v>
      </c>
      <c r="I3339">
        <f t="shared" si="1224"/>
        <v>180</v>
      </c>
      <c r="J3339" t="s">
        <v>165</v>
      </c>
      <c r="K3339">
        <v>34</v>
      </c>
      <c r="M3339">
        <f t="shared" si="1225"/>
        <v>102</v>
      </c>
      <c r="N3339">
        <f t="shared" si="1226"/>
        <v>78</v>
      </c>
    </row>
    <row r="3340" spans="1:14" x14ac:dyDescent="0.25">
      <c r="A3340">
        <v>20</v>
      </c>
      <c r="B3340" s="1">
        <v>44106</v>
      </c>
      <c r="C3340" t="str">
        <f t="shared" si="1223"/>
        <v>octubre</v>
      </c>
      <c r="D3340" t="s">
        <v>15</v>
      </c>
      <c r="F3340" t="s">
        <v>490</v>
      </c>
      <c r="G3340">
        <v>1</v>
      </c>
      <c r="H3340">
        <v>240</v>
      </c>
      <c r="I3340">
        <f t="shared" si="1224"/>
        <v>240</v>
      </c>
      <c r="J3340" t="s">
        <v>167</v>
      </c>
      <c r="K3340">
        <v>207</v>
      </c>
      <c r="M3340">
        <f t="shared" si="1225"/>
        <v>207</v>
      </c>
      <c r="N3340">
        <f t="shared" si="1226"/>
        <v>33</v>
      </c>
    </row>
    <row r="3341" spans="1:14" x14ac:dyDescent="0.25">
      <c r="A3341">
        <v>21</v>
      </c>
      <c r="B3341" s="1">
        <v>44106</v>
      </c>
      <c r="C3341" t="str">
        <f t="shared" si="1223"/>
        <v>octubre</v>
      </c>
      <c r="D3341" t="s">
        <v>26</v>
      </c>
      <c r="F3341" t="s">
        <v>144</v>
      </c>
      <c r="G3341">
        <v>1.44</v>
      </c>
      <c r="H3341">
        <v>425</v>
      </c>
      <c r="I3341">
        <f t="shared" si="1224"/>
        <v>612</v>
      </c>
      <c r="J3341" t="s">
        <v>167</v>
      </c>
      <c r="K3341">
        <v>350</v>
      </c>
      <c r="M3341">
        <f t="shared" si="1225"/>
        <v>504</v>
      </c>
      <c r="N3341">
        <f t="shared" si="1226"/>
        <v>108</v>
      </c>
    </row>
    <row r="3342" spans="1:14" x14ac:dyDescent="0.25">
      <c r="A3342">
        <v>22</v>
      </c>
      <c r="B3342" s="1">
        <v>44106</v>
      </c>
      <c r="C3342" t="str">
        <f t="shared" si="1223"/>
        <v>octubre</v>
      </c>
      <c r="D3342" t="s">
        <v>68</v>
      </c>
      <c r="F3342" t="s">
        <v>499</v>
      </c>
      <c r="G3342">
        <v>1</v>
      </c>
      <c r="H3342">
        <v>95</v>
      </c>
      <c r="I3342">
        <f t="shared" si="1224"/>
        <v>95</v>
      </c>
      <c r="J3342" t="s">
        <v>198</v>
      </c>
      <c r="K3342">
        <v>65</v>
      </c>
      <c r="M3342">
        <f t="shared" si="1225"/>
        <v>65</v>
      </c>
      <c r="N3342">
        <f t="shared" si="1226"/>
        <v>30</v>
      </c>
    </row>
    <row r="3343" spans="1:14" x14ac:dyDescent="0.25">
      <c r="A3343">
        <v>23</v>
      </c>
      <c r="B3343" s="1">
        <v>44106</v>
      </c>
      <c r="C3343" t="str">
        <f t="shared" si="1223"/>
        <v>octubre</v>
      </c>
      <c r="D3343" t="s">
        <v>15</v>
      </c>
      <c r="F3343" t="s">
        <v>110</v>
      </c>
      <c r="G3343">
        <v>11</v>
      </c>
      <c r="H3343">
        <v>295</v>
      </c>
      <c r="I3343">
        <f t="shared" si="1224"/>
        <v>3245</v>
      </c>
      <c r="J3343" t="s">
        <v>167</v>
      </c>
      <c r="K3343">
        <v>268</v>
      </c>
      <c r="M3343">
        <f t="shared" si="1225"/>
        <v>2948</v>
      </c>
      <c r="N3343">
        <f t="shared" si="1226"/>
        <v>297</v>
      </c>
    </row>
    <row r="3344" spans="1:14" x14ac:dyDescent="0.25">
      <c r="A3344">
        <v>24</v>
      </c>
      <c r="B3344" s="1">
        <v>44106</v>
      </c>
      <c r="C3344" t="str">
        <f t="shared" si="1223"/>
        <v>octubre</v>
      </c>
      <c r="D3344" t="s">
        <v>55</v>
      </c>
      <c r="F3344" t="s">
        <v>418</v>
      </c>
      <c r="G3344">
        <f>5/12</f>
        <v>0.41666666666666669</v>
      </c>
      <c r="H3344">
        <v>300</v>
      </c>
      <c r="I3344">
        <f t="shared" si="1224"/>
        <v>125</v>
      </c>
      <c r="J3344" t="s">
        <v>167</v>
      </c>
      <c r="K3344">
        <v>268</v>
      </c>
      <c r="M3344">
        <f t="shared" si="1225"/>
        <v>111.66666666666667</v>
      </c>
      <c r="N3344">
        <f t="shared" si="1226"/>
        <v>13.333333333333329</v>
      </c>
    </row>
    <row r="3345" spans="1:14" x14ac:dyDescent="0.25">
      <c r="A3345">
        <v>25</v>
      </c>
      <c r="B3345" s="1">
        <v>44106</v>
      </c>
      <c r="C3345" t="str">
        <f t="shared" si="1223"/>
        <v>octubre</v>
      </c>
      <c r="D3345" t="s">
        <v>15</v>
      </c>
      <c r="F3345" t="s">
        <v>495</v>
      </c>
      <c r="G3345">
        <f>6/10</f>
        <v>0.6</v>
      </c>
      <c r="H3345">
        <v>240</v>
      </c>
      <c r="I3345">
        <f t="shared" si="1224"/>
        <v>144</v>
      </c>
      <c r="J3345" t="s">
        <v>167</v>
      </c>
      <c r="K3345">
        <v>207</v>
      </c>
      <c r="M3345">
        <f t="shared" si="1225"/>
        <v>124.19999999999999</v>
      </c>
      <c r="N3345">
        <f t="shared" si="1226"/>
        <v>19.800000000000011</v>
      </c>
    </row>
    <row r="3346" spans="1:14" x14ac:dyDescent="0.25">
      <c r="A3346">
        <v>26</v>
      </c>
      <c r="B3346" s="1">
        <v>44106</v>
      </c>
      <c r="C3346" t="str">
        <f t="shared" si="1223"/>
        <v>octubre</v>
      </c>
      <c r="D3346" t="s">
        <v>25</v>
      </c>
      <c r="F3346" t="s">
        <v>128</v>
      </c>
      <c r="G3346">
        <v>1</v>
      </c>
      <c r="H3346">
        <v>60</v>
      </c>
      <c r="I3346">
        <f t="shared" si="1224"/>
        <v>60</v>
      </c>
      <c r="J3346" t="s">
        <v>165</v>
      </c>
      <c r="K3346">
        <v>34</v>
      </c>
      <c r="M3346">
        <f t="shared" si="1225"/>
        <v>34</v>
      </c>
      <c r="N3346">
        <f t="shared" si="1226"/>
        <v>26</v>
      </c>
    </row>
    <row r="3347" spans="1:14" x14ac:dyDescent="0.25">
      <c r="A3347">
        <v>27</v>
      </c>
      <c r="B3347" s="1">
        <v>44106</v>
      </c>
      <c r="C3347" t="str">
        <f t="shared" si="1223"/>
        <v>octubre</v>
      </c>
      <c r="D3347" t="s">
        <v>15</v>
      </c>
      <c r="F3347" t="s">
        <v>31</v>
      </c>
      <c r="G3347">
        <v>4</v>
      </c>
      <c r="H3347">
        <v>280</v>
      </c>
      <c r="I3347">
        <f t="shared" si="1224"/>
        <v>1120</v>
      </c>
      <c r="J3347" t="s">
        <v>163</v>
      </c>
      <c r="K3347">
        <v>243</v>
      </c>
      <c r="M3347">
        <f t="shared" si="1225"/>
        <v>972</v>
      </c>
      <c r="N3347">
        <f t="shared" si="1226"/>
        <v>148</v>
      </c>
    </row>
    <row r="3348" spans="1:14" x14ac:dyDescent="0.25">
      <c r="A3348">
        <v>28</v>
      </c>
      <c r="B3348" s="1">
        <v>44106</v>
      </c>
      <c r="C3348" t="str">
        <f t="shared" si="1223"/>
        <v>octubre</v>
      </c>
      <c r="D3348" t="s">
        <v>15</v>
      </c>
      <c r="F3348" t="s">
        <v>29</v>
      </c>
      <c r="G3348">
        <v>16</v>
      </c>
      <c r="H3348">
        <v>240</v>
      </c>
      <c r="I3348">
        <f t="shared" si="1224"/>
        <v>3840</v>
      </c>
      <c r="J3348" t="s">
        <v>163</v>
      </c>
      <c r="K3348">
        <v>211</v>
      </c>
      <c r="M3348">
        <f t="shared" si="1225"/>
        <v>3376</v>
      </c>
      <c r="N3348">
        <f t="shared" si="1226"/>
        <v>464</v>
      </c>
    </row>
    <row r="3349" spans="1:14" x14ac:dyDescent="0.25">
      <c r="A3349">
        <v>29</v>
      </c>
      <c r="B3349" s="1">
        <v>44106</v>
      </c>
      <c r="C3349" t="str">
        <f t="shared" si="1223"/>
        <v>octubre</v>
      </c>
      <c r="D3349" t="s">
        <v>85</v>
      </c>
      <c r="F3349" t="s">
        <v>500</v>
      </c>
      <c r="G3349">
        <v>1</v>
      </c>
      <c r="H3349">
        <v>1450</v>
      </c>
      <c r="I3349">
        <f t="shared" si="1224"/>
        <v>1450</v>
      </c>
      <c r="J3349" t="s">
        <v>167</v>
      </c>
      <c r="K3349">
        <f>790+180</f>
        <v>970</v>
      </c>
      <c r="M3349">
        <f t="shared" si="1225"/>
        <v>970</v>
      </c>
      <c r="N3349">
        <f t="shared" si="1226"/>
        <v>480</v>
      </c>
    </row>
    <row r="3350" spans="1:14" x14ac:dyDescent="0.25">
      <c r="A3350">
        <v>30</v>
      </c>
      <c r="B3350" s="1">
        <v>44106</v>
      </c>
      <c r="C3350" t="str">
        <f t="shared" si="1223"/>
        <v>octubre</v>
      </c>
      <c r="D3350" t="s">
        <v>25</v>
      </c>
      <c r="F3350" t="s">
        <v>501</v>
      </c>
      <c r="G3350">
        <v>1</v>
      </c>
      <c r="H3350">
        <v>60</v>
      </c>
      <c r="I3350">
        <f t="shared" si="1224"/>
        <v>60</v>
      </c>
      <c r="J3350" t="s">
        <v>165</v>
      </c>
      <c r="K3350">
        <v>34</v>
      </c>
      <c r="M3350">
        <f t="shared" si="1225"/>
        <v>34</v>
      </c>
      <c r="N3350">
        <f t="shared" si="1226"/>
        <v>26</v>
      </c>
    </row>
    <row r="3351" spans="1:14" x14ac:dyDescent="0.25">
      <c r="A3351">
        <v>31</v>
      </c>
      <c r="B3351" s="1">
        <v>44106</v>
      </c>
      <c r="C3351" t="str">
        <f t="shared" si="1223"/>
        <v>octubre</v>
      </c>
      <c r="D3351" t="s">
        <v>78</v>
      </c>
      <c r="F3351" t="s">
        <v>480</v>
      </c>
      <c r="G3351">
        <v>1</v>
      </c>
      <c r="H3351">
        <v>650</v>
      </c>
      <c r="I3351">
        <f t="shared" si="1224"/>
        <v>650</v>
      </c>
      <c r="J3351" t="s">
        <v>166</v>
      </c>
      <c r="K3351">
        <v>477</v>
      </c>
      <c r="M3351">
        <f t="shared" si="1225"/>
        <v>477</v>
      </c>
      <c r="N3351">
        <f t="shared" si="1226"/>
        <v>173</v>
      </c>
    </row>
    <row r="3352" spans="1:14" x14ac:dyDescent="0.25">
      <c r="A3352">
        <v>32</v>
      </c>
      <c r="B3352" s="1">
        <v>44106</v>
      </c>
      <c r="C3352" t="str">
        <f t="shared" si="1223"/>
        <v>octubre</v>
      </c>
      <c r="D3352" t="s">
        <v>55</v>
      </c>
      <c r="F3352" t="s">
        <v>149</v>
      </c>
      <c r="G3352">
        <v>4</v>
      </c>
      <c r="H3352">
        <v>300</v>
      </c>
      <c r="I3352">
        <f t="shared" si="1224"/>
        <v>1200</v>
      </c>
      <c r="J3352" t="s">
        <v>167</v>
      </c>
      <c r="K3352">
        <v>268</v>
      </c>
      <c r="M3352">
        <f t="shared" si="1225"/>
        <v>1072</v>
      </c>
      <c r="N3352">
        <f t="shared" si="1226"/>
        <v>128</v>
      </c>
    </row>
    <row r="3353" spans="1:14" x14ac:dyDescent="0.25">
      <c r="A3353">
        <v>33</v>
      </c>
      <c r="B3353" s="1">
        <v>44107</v>
      </c>
      <c r="C3353" t="str">
        <f t="shared" si="1223"/>
        <v>octubre</v>
      </c>
      <c r="D3353" t="s">
        <v>55</v>
      </c>
      <c r="F3353" t="s">
        <v>416</v>
      </c>
      <c r="G3353">
        <v>4</v>
      </c>
      <c r="H3353">
        <v>270</v>
      </c>
      <c r="I3353">
        <f t="shared" si="1224"/>
        <v>1080</v>
      </c>
      <c r="J3353" t="s">
        <v>167</v>
      </c>
      <c r="K3353">
        <v>207</v>
      </c>
      <c r="M3353">
        <f t="shared" si="1225"/>
        <v>828</v>
      </c>
      <c r="N3353">
        <f t="shared" si="1226"/>
        <v>252</v>
      </c>
    </row>
    <row r="3354" spans="1:14" x14ac:dyDescent="0.25">
      <c r="A3354">
        <v>34</v>
      </c>
      <c r="B3354" s="1">
        <v>44107</v>
      </c>
      <c r="C3354" t="str">
        <f t="shared" si="1223"/>
        <v>octubre</v>
      </c>
      <c r="D3354" t="s">
        <v>55</v>
      </c>
      <c r="F3354" t="s">
        <v>416</v>
      </c>
      <c r="G3354">
        <v>2</v>
      </c>
      <c r="H3354">
        <v>270</v>
      </c>
      <c r="I3354">
        <f t="shared" si="1224"/>
        <v>540</v>
      </c>
      <c r="J3354" t="s">
        <v>167</v>
      </c>
      <c r="K3354">
        <v>207</v>
      </c>
      <c r="M3354">
        <f t="shared" si="1225"/>
        <v>414</v>
      </c>
      <c r="N3354">
        <f t="shared" si="1226"/>
        <v>126</v>
      </c>
    </row>
    <row r="3355" spans="1:14" x14ac:dyDescent="0.25">
      <c r="A3355">
        <v>35</v>
      </c>
      <c r="B3355" s="1">
        <v>44107</v>
      </c>
      <c r="C3355" t="str">
        <f t="shared" si="1223"/>
        <v>octubre</v>
      </c>
      <c r="D3355" t="s">
        <v>55</v>
      </c>
      <c r="F3355" t="s">
        <v>22</v>
      </c>
      <c r="G3355">
        <v>1</v>
      </c>
      <c r="H3355">
        <v>300</v>
      </c>
      <c r="I3355">
        <f t="shared" si="1224"/>
        <v>300</v>
      </c>
      <c r="J3355" t="s">
        <v>167</v>
      </c>
      <c r="K3355">
        <v>268</v>
      </c>
      <c r="M3355">
        <f t="shared" si="1225"/>
        <v>268</v>
      </c>
      <c r="N3355">
        <f t="shared" si="1226"/>
        <v>32</v>
      </c>
    </row>
    <row r="3356" spans="1:14" x14ac:dyDescent="0.25">
      <c r="A3356">
        <v>36</v>
      </c>
      <c r="B3356" s="1">
        <v>44107</v>
      </c>
      <c r="C3356" t="str">
        <f t="shared" si="1223"/>
        <v>octubre</v>
      </c>
      <c r="D3356" t="s">
        <v>70</v>
      </c>
      <c r="F3356" t="s">
        <v>502</v>
      </c>
      <c r="G3356">
        <v>1</v>
      </c>
      <c r="H3356">
        <v>2200</v>
      </c>
      <c r="I3356">
        <f t="shared" si="1224"/>
        <v>2200</v>
      </c>
      <c r="J3356" t="s">
        <v>167</v>
      </c>
      <c r="K3356">
        <v>1960</v>
      </c>
      <c r="M3356">
        <f t="shared" si="1225"/>
        <v>1960</v>
      </c>
      <c r="N3356">
        <f t="shared" si="1226"/>
        <v>240</v>
      </c>
    </row>
    <row r="3357" spans="1:14" x14ac:dyDescent="0.25">
      <c r="A3357">
        <v>37</v>
      </c>
      <c r="B3357" s="1">
        <v>44107</v>
      </c>
      <c r="C3357" t="str">
        <f t="shared" si="1223"/>
        <v>octubre</v>
      </c>
      <c r="D3357" t="s">
        <v>26</v>
      </c>
      <c r="F3357" t="s">
        <v>144</v>
      </c>
      <c r="G3357">
        <f>24/4*1.44</f>
        <v>8.64</v>
      </c>
      <c r="H3357">
        <v>425</v>
      </c>
      <c r="I3357">
        <f t="shared" si="1224"/>
        <v>3672.0000000000005</v>
      </c>
      <c r="J3357" t="s">
        <v>167</v>
      </c>
      <c r="K3357">
        <v>350</v>
      </c>
      <c r="M3357">
        <f t="shared" si="1225"/>
        <v>3024</v>
      </c>
      <c r="N3357">
        <f t="shared" si="1226"/>
        <v>648.00000000000045</v>
      </c>
    </row>
    <row r="3358" spans="1:14" x14ac:dyDescent="0.25">
      <c r="A3358">
        <v>38</v>
      </c>
      <c r="B3358" s="1">
        <v>44107</v>
      </c>
      <c r="C3358" t="str">
        <f t="shared" ref="C3358:C3421" si="1227">+TEXT(B3358,"mmmm")</f>
        <v>octubre</v>
      </c>
      <c r="D3358" t="s">
        <v>26</v>
      </c>
      <c r="F3358" t="s">
        <v>498</v>
      </c>
      <c r="G3358">
        <f>9/4*1.44</f>
        <v>3.2399999999999998</v>
      </c>
      <c r="H3358">
        <v>425</v>
      </c>
      <c r="I3358">
        <f t="shared" si="1224"/>
        <v>1377</v>
      </c>
      <c r="J3358" t="s">
        <v>167</v>
      </c>
      <c r="K3358">
        <v>350</v>
      </c>
      <c r="M3358">
        <f t="shared" si="1225"/>
        <v>1134</v>
      </c>
      <c r="N3358">
        <f t="shared" si="1226"/>
        <v>243</v>
      </c>
    </row>
    <row r="3359" spans="1:14" x14ac:dyDescent="0.25">
      <c r="A3359">
        <v>39</v>
      </c>
      <c r="B3359" s="1">
        <v>44107</v>
      </c>
      <c r="C3359" t="str">
        <f t="shared" si="1227"/>
        <v>octubre</v>
      </c>
      <c r="D3359" t="s">
        <v>56</v>
      </c>
      <c r="F3359" t="s">
        <v>176</v>
      </c>
      <c r="G3359">
        <v>1</v>
      </c>
      <c r="H3359">
        <v>260</v>
      </c>
      <c r="I3359">
        <f t="shared" si="1224"/>
        <v>260</v>
      </c>
      <c r="J3359" t="s">
        <v>163</v>
      </c>
      <c r="K3359">
        <v>200</v>
      </c>
      <c r="M3359">
        <f t="shared" si="1225"/>
        <v>200</v>
      </c>
      <c r="N3359">
        <f t="shared" si="1226"/>
        <v>60</v>
      </c>
    </row>
    <row r="3360" spans="1:14" x14ac:dyDescent="0.25">
      <c r="A3360">
        <v>40</v>
      </c>
      <c r="B3360" s="1">
        <v>44107</v>
      </c>
      <c r="C3360" t="str">
        <f t="shared" si="1227"/>
        <v>octubre</v>
      </c>
      <c r="D3360" t="s">
        <v>25</v>
      </c>
      <c r="F3360" t="s">
        <v>58</v>
      </c>
      <c r="G3360">
        <v>1</v>
      </c>
      <c r="H3360">
        <v>60</v>
      </c>
      <c r="I3360">
        <f t="shared" si="1224"/>
        <v>60</v>
      </c>
      <c r="J3360" t="s">
        <v>165</v>
      </c>
      <c r="K3360">
        <v>34</v>
      </c>
      <c r="M3360">
        <f t="shared" si="1225"/>
        <v>34</v>
      </c>
      <c r="N3360">
        <f t="shared" si="1226"/>
        <v>26</v>
      </c>
    </row>
    <row r="3361" spans="1:14" x14ac:dyDescent="0.25">
      <c r="A3361">
        <v>41</v>
      </c>
      <c r="B3361" s="1">
        <v>44107</v>
      </c>
      <c r="C3361" t="str">
        <f t="shared" si="1227"/>
        <v>octubre</v>
      </c>
      <c r="D3361" t="s">
        <v>70</v>
      </c>
      <c r="F3361" t="s">
        <v>420</v>
      </c>
      <c r="G3361">
        <v>1</v>
      </c>
      <c r="H3361">
        <v>3100</v>
      </c>
      <c r="I3361">
        <f t="shared" si="1224"/>
        <v>3100</v>
      </c>
      <c r="J3361" t="s">
        <v>163</v>
      </c>
      <c r="K3361">
        <v>2800</v>
      </c>
      <c r="M3361">
        <f t="shared" si="1225"/>
        <v>2800</v>
      </c>
      <c r="N3361">
        <f t="shared" si="1226"/>
        <v>300</v>
      </c>
    </row>
    <row r="3362" spans="1:14" x14ac:dyDescent="0.25">
      <c r="A3362">
        <v>42</v>
      </c>
      <c r="B3362" s="1">
        <v>44107</v>
      </c>
      <c r="C3362" t="str">
        <f t="shared" si="1227"/>
        <v>octubre</v>
      </c>
      <c r="D3362" t="s">
        <v>85</v>
      </c>
      <c r="F3362" t="s">
        <v>216</v>
      </c>
      <c r="G3362">
        <v>1</v>
      </c>
      <c r="H3362">
        <v>1150</v>
      </c>
      <c r="I3362">
        <f t="shared" si="1224"/>
        <v>1150</v>
      </c>
      <c r="J3362" t="s">
        <v>167</v>
      </c>
      <c r="K3362">
        <f>480+250</f>
        <v>730</v>
      </c>
      <c r="M3362">
        <f t="shared" si="1225"/>
        <v>730</v>
      </c>
      <c r="N3362">
        <f t="shared" si="1226"/>
        <v>420</v>
      </c>
    </row>
    <row r="3363" spans="1:14" x14ac:dyDescent="0.25">
      <c r="A3363">
        <v>43</v>
      </c>
      <c r="B3363" s="1">
        <v>44107</v>
      </c>
      <c r="C3363" t="str">
        <f t="shared" si="1227"/>
        <v>octubre</v>
      </c>
      <c r="D3363" t="s">
        <v>85</v>
      </c>
      <c r="F3363" t="s">
        <v>152</v>
      </c>
      <c r="G3363">
        <v>1</v>
      </c>
      <c r="H3363">
        <v>85</v>
      </c>
      <c r="I3363">
        <f t="shared" si="1224"/>
        <v>85</v>
      </c>
      <c r="J3363" t="s">
        <v>163</v>
      </c>
      <c r="K3363">
        <v>70</v>
      </c>
      <c r="M3363">
        <f t="shared" si="1225"/>
        <v>70</v>
      </c>
      <c r="N3363">
        <f t="shared" si="1226"/>
        <v>15</v>
      </c>
    </row>
    <row r="3364" spans="1:14" x14ac:dyDescent="0.25">
      <c r="A3364">
        <v>44</v>
      </c>
      <c r="B3364" s="1">
        <v>44107</v>
      </c>
      <c r="C3364" t="str">
        <f t="shared" si="1227"/>
        <v>octubre</v>
      </c>
      <c r="D3364" t="s">
        <v>70</v>
      </c>
      <c r="F3364" t="s">
        <v>491</v>
      </c>
      <c r="G3364">
        <v>1</v>
      </c>
      <c r="H3364">
        <v>85</v>
      </c>
      <c r="I3364">
        <f t="shared" si="1224"/>
        <v>85</v>
      </c>
      <c r="J3364" t="s">
        <v>166</v>
      </c>
      <c r="K3364">
        <v>55</v>
      </c>
      <c r="M3364">
        <f t="shared" si="1225"/>
        <v>55</v>
      </c>
      <c r="N3364">
        <f t="shared" si="1226"/>
        <v>30</v>
      </c>
    </row>
    <row r="3365" spans="1:14" x14ac:dyDescent="0.25">
      <c r="A3365">
        <v>45</v>
      </c>
      <c r="B3365" s="1">
        <v>44107</v>
      </c>
      <c r="C3365" t="str">
        <f t="shared" si="1227"/>
        <v>octubre</v>
      </c>
      <c r="D3365" t="s">
        <v>15</v>
      </c>
      <c r="F3365" t="s">
        <v>80</v>
      </c>
      <c r="G3365">
        <v>50</v>
      </c>
      <c r="H3365">
        <v>265</v>
      </c>
      <c r="I3365">
        <f t="shared" si="1224"/>
        <v>13250</v>
      </c>
      <c r="J3365" t="s">
        <v>163</v>
      </c>
      <c r="K3365">
        <v>242</v>
      </c>
      <c r="M3365">
        <f t="shared" si="1225"/>
        <v>12100</v>
      </c>
      <c r="N3365">
        <f t="shared" si="1226"/>
        <v>1150</v>
      </c>
    </row>
    <row r="3366" spans="1:14" x14ac:dyDescent="0.25">
      <c r="A3366">
        <v>46</v>
      </c>
      <c r="B3366" s="1">
        <v>44107</v>
      </c>
      <c r="C3366" t="str">
        <f t="shared" si="1227"/>
        <v>octubre</v>
      </c>
      <c r="D3366" t="s">
        <v>15</v>
      </c>
      <c r="F3366" t="s">
        <v>29</v>
      </c>
      <c r="G3366">
        <v>5</v>
      </c>
      <c r="H3366">
        <v>240</v>
      </c>
      <c r="I3366">
        <f t="shared" si="1224"/>
        <v>1200</v>
      </c>
      <c r="J3366" t="s">
        <v>163</v>
      </c>
      <c r="K3366">
        <v>211</v>
      </c>
      <c r="M3366">
        <f t="shared" si="1225"/>
        <v>1055</v>
      </c>
      <c r="N3366">
        <f t="shared" si="1226"/>
        <v>145</v>
      </c>
    </row>
    <row r="3367" spans="1:14" x14ac:dyDescent="0.25">
      <c r="A3367">
        <v>47</v>
      </c>
      <c r="B3367" s="1">
        <v>44107</v>
      </c>
      <c r="C3367" t="str">
        <f t="shared" si="1227"/>
        <v>octubre</v>
      </c>
      <c r="D3367" t="s">
        <v>56</v>
      </c>
      <c r="F3367" t="s">
        <v>267</v>
      </c>
      <c r="G3367">
        <v>3</v>
      </c>
      <c r="H3367">
        <v>170</v>
      </c>
      <c r="I3367">
        <f t="shared" si="1224"/>
        <v>510</v>
      </c>
      <c r="J3367" t="s">
        <v>163</v>
      </c>
      <c r="K3367">
        <v>123</v>
      </c>
      <c r="M3367">
        <f t="shared" si="1225"/>
        <v>369</v>
      </c>
      <c r="N3367">
        <f t="shared" si="1226"/>
        <v>141</v>
      </c>
    </row>
    <row r="3368" spans="1:14" x14ac:dyDescent="0.25">
      <c r="A3368">
        <v>48</v>
      </c>
      <c r="B3368" s="1">
        <v>44107</v>
      </c>
      <c r="C3368" t="str">
        <f t="shared" si="1227"/>
        <v>octubre</v>
      </c>
      <c r="D3368" t="s">
        <v>92</v>
      </c>
      <c r="F3368" t="s">
        <v>91</v>
      </c>
      <c r="G3368">
        <v>1</v>
      </c>
      <c r="H3368">
        <v>35</v>
      </c>
      <c r="I3368">
        <f t="shared" si="1224"/>
        <v>35</v>
      </c>
      <c r="J3368" t="s">
        <v>166</v>
      </c>
      <c r="K3368">
        <v>22</v>
      </c>
      <c r="M3368">
        <f t="shared" si="1225"/>
        <v>22</v>
      </c>
      <c r="N3368">
        <f t="shared" si="1226"/>
        <v>13</v>
      </c>
    </row>
    <row r="3369" spans="1:14" x14ac:dyDescent="0.25">
      <c r="A3369">
        <v>49</v>
      </c>
      <c r="B3369" s="1">
        <v>44107</v>
      </c>
      <c r="C3369" t="str">
        <f t="shared" si="1227"/>
        <v>octubre</v>
      </c>
      <c r="D3369" t="s">
        <v>44</v>
      </c>
      <c r="F3369" t="s">
        <v>382</v>
      </c>
      <c r="G3369">
        <v>1</v>
      </c>
      <c r="H3369">
        <v>35</v>
      </c>
      <c r="I3369">
        <f t="shared" si="1224"/>
        <v>35</v>
      </c>
      <c r="J3369" t="s">
        <v>198</v>
      </c>
      <c r="K3369">
        <v>22</v>
      </c>
      <c r="M3369">
        <f t="shared" si="1225"/>
        <v>22</v>
      </c>
      <c r="N3369">
        <f t="shared" si="1226"/>
        <v>13</v>
      </c>
    </row>
    <row r="3370" spans="1:14" x14ac:dyDescent="0.25">
      <c r="A3370">
        <v>50</v>
      </c>
      <c r="B3370" s="1">
        <v>44107</v>
      </c>
      <c r="C3370" t="str">
        <f t="shared" si="1227"/>
        <v>octubre</v>
      </c>
      <c r="D3370" t="s">
        <v>68</v>
      </c>
      <c r="F3370" t="s">
        <v>503</v>
      </c>
      <c r="G3370">
        <v>3</v>
      </c>
      <c r="H3370">
        <v>170</v>
      </c>
      <c r="I3370">
        <f t="shared" si="1224"/>
        <v>510</v>
      </c>
      <c r="J3370" t="s">
        <v>198</v>
      </c>
      <c r="K3370">
        <v>110</v>
      </c>
      <c r="M3370">
        <f t="shared" si="1225"/>
        <v>330</v>
      </c>
      <c r="N3370">
        <f t="shared" si="1226"/>
        <v>180</v>
      </c>
    </row>
    <row r="3371" spans="1:14" x14ac:dyDescent="0.25">
      <c r="A3371">
        <v>51</v>
      </c>
      <c r="B3371" s="1">
        <v>44109</v>
      </c>
      <c r="C3371" t="str">
        <f t="shared" si="1227"/>
        <v>octubre</v>
      </c>
      <c r="D3371" t="s">
        <v>56</v>
      </c>
      <c r="F3371" t="s">
        <v>267</v>
      </c>
      <c r="G3371">
        <v>20</v>
      </c>
      <c r="H3371">
        <v>165</v>
      </c>
      <c r="I3371">
        <f t="shared" si="1224"/>
        <v>3300</v>
      </c>
      <c r="J3371" t="s">
        <v>163</v>
      </c>
      <c r="K3371">
        <v>125</v>
      </c>
      <c r="M3371">
        <f t="shared" ref="M3371:M3434" si="1228">+IF(K3371=0,(""),(K3371*G3371))</f>
        <v>2500</v>
      </c>
      <c r="N3371">
        <f t="shared" ref="N3371:N3434" si="1229">+IF(K3371=0,(""),(I3371-M3371))</f>
        <v>800</v>
      </c>
    </row>
    <row r="3372" spans="1:14" x14ac:dyDescent="0.25">
      <c r="A3372">
        <v>52</v>
      </c>
      <c r="B3372" s="1">
        <v>44109</v>
      </c>
      <c r="C3372" t="str">
        <f t="shared" si="1227"/>
        <v>octubre</v>
      </c>
      <c r="D3372" t="s">
        <v>44</v>
      </c>
      <c r="F3372" t="s">
        <v>138</v>
      </c>
      <c r="G3372">
        <v>1</v>
      </c>
      <c r="H3372">
        <v>35</v>
      </c>
      <c r="I3372">
        <f t="shared" si="1224"/>
        <v>35</v>
      </c>
      <c r="J3372" t="s">
        <v>166</v>
      </c>
      <c r="K3372">
        <v>26</v>
      </c>
      <c r="M3372">
        <f t="shared" si="1228"/>
        <v>26</v>
      </c>
      <c r="N3372">
        <f t="shared" si="1229"/>
        <v>9</v>
      </c>
    </row>
    <row r="3373" spans="1:14" x14ac:dyDescent="0.25">
      <c r="A3373">
        <v>53</v>
      </c>
      <c r="B3373" s="1">
        <v>44109</v>
      </c>
      <c r="C3373" t="str">
        <f t="shared" si="1227"/>
        <v>octubre</v>
      </c>
      <c r="D3373" t="s">
        <v>24</v>
      </c>
      <c r="F3373" t="s">
        <v>24</v>
      </c>
      <c r="G3373">
        <v>3.2</v>
      </c>
      <c r="H3373">
        <v>100</v>
      </c>
      <c r="I3373">
        <f t="shared" si="1224"/>
        <v>320</v>
      </c>
      <c r="J3373" t="s">
        <v>186</v>
      </c>
      <c r="K3373">
        <v>80</v>
      </c>
      <c r="M3373">
        <f t="shared" si="1228"/>
        <v>256</v>
      </c>
      <c r="N3373">
        <f t="shared" si="1229"/>
        <v>64</v>
      </c>
    </row>
    <row r="3374" spans="1:14" x14ac:dyDescent="0.25">
      <c r="A3374">
        <v>54</v>
      </c>
      <c r="B3374" s="1">
        <v>44109</v>
      </c>
      <c r="C3374" t="str">
        <f t="shared" si="1227"/>
        <v>octubre</v>
      </c>
      <c r="D3374" t="s">
        <v>56</v>
      </c>
      <c r="F3374" t="s">
        <v>267</v>
      </c>
      <c r="G3374">
        <v>1</v>
      </c>
      <c r="H3374">
        <v>100</v>
      </c>
      <c r="I3374">
        <f t="shared" si="1224"/>
        <v>100</v>
      </c>
      <c r="J3374" t="s">
        <v>163</v>
      </c>
      <c r="K3374">
        <v>125</v>
      </c>
      <c r="M3374">
        <f t="shared" si="1228"/>
        <v>125</v>
      </c>
      <c r="N3374">
        <f t="shared" si="1229"/>
        <v>-25</v>
      </c>
    </row>
    <row r="3375" spans="1:14" x14ac:dyDescent="0.25">
      <c r="A3375">
        <v>55</v>
      </c>
      <c r="B3375" s="1">
        <v>44109</v>
      </c>
      <c r="C3375" t="str">
        <f t="shared" si="1227"/>
        <v>octubre</v>
      </c>
      <c r="D3375" t="s">
        <v>55</v>
      </c>
      <c r="F3375" t="s">
        <v>22</v>
      </c>
      <c r="G3375">
        <f>7/17</f>
        <v>0.41176470588235292</v>
      </c>
      <c r="H3375">
        <v>300</v>
      </c>
      <c r="I3375">
        <f t="shared" si="1224"/>
        <v>123.52941176470587</v>
      </c>
      <c r="J3375" t="s">
        <v>167</v>
      </c>
      <c r="K3375">
        <v>268</v>
      </c>
      <c r="M3375">
        <f t="shared" si="1228"/>
        <v>110.35294117647058</v>
      </c>
      <c r="N3375">
        <f t="shared" si="1229"/>
        <v>13.17647058823529</v>
      </c>
    </row>
    <row r="3376" spans="1:14" x14ac:dyDescent="0.25">
      <c r="A3376">
        <v>56</v>
      </c>
      <c r="B3376" s="1">
        <v>44109</v>
      </c>
      <c r="C3376" t="str">
        <f t="shared" si="1227"/>
        <v>octubre</v>
      </c>
      <c r="D3376" t="s">
        <v>25</v>
      </c>
      <c r="F3376" t="s">
        <v>174</v>
      </c>
      <c r="G3376">
        <v>1</v>
      </c>
      <c r="H3376">
        <v>100</v>
      </c>
      <c r="I3376">
        <f t="shared" si="1224"/>
        <v>100</v>
      </c>
      <c r="J3376" t="s">
        <v>163</v>
      </c>
      <c r="K3376">
        <v>80</v>
      </c>
      <c r="M3376">
        <f t="shared" si="1228"/>
        <v>80</v>
      </c>
      <c r="N3376">
        <f t="shared" si="1229"/>
        <v>20</v>
      </c>
    </row>
    <row r="3377" spans="1:14" x14ac:dyDescent="0.25">
      <c r="A3377">
        <v>57</v>
      </c>
      <c r="B3377" s="1">
        <v>44109</v>
      </c>
      <c r="C3377" t="str">
        <f t="shared" si="1227"/>
        <v>octubre</v>
      </c>
      <c r="D3377" t="s">
        <v>25</v>
      </c>
      <c r="F3377" t="s">
        <v>57</v>
      </c>
      <c r="G3377">
        <v>1</v>
      </c>
      <c r="H3377">
        <v>60</v>
      </c>
      <c r="I3377">
        <f t="shared" si="1224"/>
        <v>60</v>
      </c>
      <c r="J3377" t="s">
        <v>165</v>
      </c>
      <c r="K3377">
        <v>34</v>
      </c>
      <c r="M3377">
        <f t="shared" si="1228"/>
        <v>34</v>
      </c>
      <c r="N3377">
        <f t="shared" si="1229"/>
        <v>26</v>
      </c>
    </row>
    <row r="3378" spans="1:14" x14ac:dyDescent="0.25">
      <c r="A3378">
        <v>58</v>
      </c>
      <c r="B3378" s="1">
        <v>44109</v>
      </c>
      <c r="C3378" t="str">
        <f t="shared" si="1227"/>
        <v>octubre</v>
      </c>
      <c r="D3378" t="s">
        <v>15</v>
      </c>
      <c r="F3378" t="s">
        <v>504</v>
      </c>
      <c r="G3378">
        <v>35</v>
      </c>
      <c r="H3378">
        <v>280</v>
      </c>
      <c r="I3378">
        <f t="shared" si="1224"/>
        <v>9800</v>
      </c>
      <c r="J3378" t="s">
        <v>163</v>
      </c>
      <c r="K3378">
        <v>248</v>
      </c>
      <c r="M3378">
        <f t="shared" si="1228"/>
        <v>8680</v>
      </c>
      <c r="N3378">
        <f t="shared" si="1229"/>
        <v>1120</v>
      </c>
    </row>
    <row r="3379" spans="1:14" x14ac:dyDescent="0.25">
      <c r="A3379">
        <v>59</v>
      </c>
      <c r="B3379" s="1">
        <v>44109</v>
      </c>
      <c r="C3379" t="str">
        <f t="shared" si="1227"/>
        <v>octubre</v>
      </c>
      <c r="D3379" t="s">
        <v>15</v>
      </c>
      <c r="F3379" t="s">
        <v>29</v>
      </c>
      <c r="G3379">
        <f>15/9</f>
        <v>1.6666666666666667</v>
      </c>
      <c r="H3379">
        <v>240</v>
      </c>
      <c r="I3379">
        <f t="shared" si="1224"/>
        <v>400</v>
      </c>
      <c r="J3379" t="s">
        <v>163</v>
      </c>
      <c r="K3379">
        <v>212</v>
      </c>
      <c r="M3379">
        <f t="shared" si="1228"/>
        <v>353.33333333333337</v>
      </c>
      <c r="N3379">
        <f t="shared" si="1229"/>
        <v>46.666666666666629</v>
      </c>
    </row>
    <row r="3380" spans="1:14" x14ac:dyDescent="0.25">
      <c r="A3380">
        <v>60</v>
      </c>
      <c r="B3380" s="1">
        <v>44109</v>
      </c>
      <c r="C3380" t="str">
        <f t="shared" si="1227"/>
        <v>octubre</v>
      </c>
      <c r="D3380" t="s">
        <v>92</v>
      </c>
      <c r="F3380" t="s">
        <v>91</v>
      </c>
      <c r="G3380">
        <v>1</v>
      </c>
      <c r="H3380">
        <v>35</v>
      </c>
      <c r="I3380">
        <f t="shared" si="1224"/>
        <v>35</v>
      </c>
      <c r="J3380" t="s">
        <v>166</v>
      </c>
      <c r="K3380">
        <v>22</v>
      </c>
      <c r="M3380">
        <f t="shared" si="1228"/>
        <v>22</v>
      </c>
      <c r="N3380">
        <f t="shared" si="1229"/>
        <v>13</v>
      </c>
    </row>
    <row r="3381" spans="1:14" x14ac:dyDescent="0.25">
      <c r="A3381">
        <v>61</v>
      </c>
      <c r="B3381" s="1">
        <v>44109</v>
      </c>
      <c r="C3381" t="str">
        <f t="shared" si="1227"/>
        <v>octubre</v>
      </c>
      <c r="D3381" t="s">
        <v>92</v>
      </c>
      <c r="F3381" t="s">
        <v>342</v>
      </c>
      <c r="G3381">
        <v>1</v>
      </c>
      <c r="H3381">
        <v>230</v>
      </c>
      <c r="I3381">
        <f t="shared" si="1224"/>
        <v>230</v>
      </c>
      <c r="J3381" t="s">
        <v>166</v>
      </c>
      <c r="K3381">
        <v>150</v>
      </c>
      <c r="M3381">
        <f t="shared" si="1228"/>
        <v>150</v>
      </c>
      <c r="N3381">
        <f t="shared" si="1229"/>
        <v>80</v>
      </c>
    </row>
    <row r="3382" spans="1:14" x14ac:dyDescent="0.25">
      <c r="A3382">
        <v>62</v>
      </c>
      <c r="B3382" s="1">
        <v>44109</v>
      </c>
      <c r="C3382" t="str">
        <f t="shared" si="1227"/>
        <v>octubre</v>
      </c>
      <c r="D3382" t="s">
        <v>15</v>
      </c>
      <c r="F3382" t="s">
        <v>468</v>
      </c>
      <c r="G3382">
        <v>21</v>
      </c>
      <c r="H3382">
        <v>370</v>
      </c>
      <c r="I3382">
        <f t="shared" si="1224"/>
        <v>7770</v>
      </c>
      <c r="J3382" t="s">
        <v>167</v>
      </c>
      <c r="K3382">
        <v>290</v>
      </c>
      <c r="M3382">
        <f t="shared" si="1228"/>
        <v>6090</v>
      </c>
      <c r="N3382">
        <f t="shared" si="1229"/>
        <v>1680</v>
      </c>
    </row>
    <row r="3383" spans="1:14" x14ac:dyDescent="0.25">
      <c r="A3383">
        <v>63</v>
      </c>
      <c r="B3383" s="1">
        <v>44109</v>
      </c>
      <c r="C3383" t="str">
        <f t="shared" si="1227"/>
        <v>octubre</v>
      </c>
      <c r="D3383" t="s">
        <v>15</v>
      </c>
      <c r="F3383" t="s">
        <v>32</v>
      </c>
      <c r="G3383">
        <v>8</v>
      </c>
      <c r="H3383">
        <v>280</v>
      </c>
      <c r="I3383">
        <f t="shared" si="1224"/>
        <v>2240</v>
      </c>
      <c r="J3383" t="s">
        <v>163</v>
      </c>
      <c r="K3383">
        <v>243</v>
      </c>
      <c r="M3383">
        <f t="shared" si="1228"/>
        <v>1944</v>
      </c>
      <c r="N3383">
        <f t="shared" si="1229"/>
        <v>296</v>
      </c>
    </row>
    <row r="3384" spans="1:14" x14ac:dyDescent="0.25">
      <c r="A3384">
        <v>64</v>
      </c>
      <c r="B3384" s="1">
        <v>44109</v>
      </c>
      <c r="C3384" t="str">
        <f t="shared" si="1227"/>
        <v>octubre</v>
      </c>
      <c r="D3384" t="s">
        <v>56</v>
      </c>
      <c r="F3384" t="s">
        <v>267</v>
      </c>
      <c r="G3384">
        <v>15</v>
      </c>
      <c r="H3384">
        <v>170</v>
      </c>
      <c r="I3384">
        <f t="shared" si="1224"/>
        <v>2550</v>
      </c>
      <c r="J3384" t="s">
        <v>163</v>
      </c>
      <c r="K3384">
        <v>125</v>
      </c>
      <c r="M3384">
        <f t="shared" si="1228"/>
        <v>1875</v>
      </c>
      <c r="N3384">
        <f t="shared" si="1229"/>
        <v>675</v>
      </c>
    </row>
    <row r="3385" spans="1:14" x14ac:dyDescent="0.25">
      <c r="A3385">
        <v>65</v>
      </c>
      <c r="B3385" s="1">
        <v>44109</v>
      </c>
      <c r="C3385" t="str">
        <f t="shared" si="1227"/>
        <v>octubre</v>
      </c>
      <c r="D3385" t="s">
        <v>44</v>
      </c>
      <c r="F3385" t="s">
        <v>138</v>
      </c>
      <c r="G3385">
        <v>2</v>
      </c>
      <c r="H3385">
        <v>35</v>
      </c>
      <c r="I3385">
        <f t="shared" si="1224"/>
        <v>70</v>
      </c>
      <c r="J3385" t="s">
        <v>166</v>
      </c>
      <c r="K3385">
        <v>26</v>
      </c>
      <c r="M3385">
        <f t="shared" si="1228"/>
        <v>52</v>
      </c>
      <c r="N3385">
        <f t="shared" si="1229"/>
        <v>18</v>
      </c>
    </row>
    <row r="3386" spans="1:14" x14ac:dyDescent="0.25">
      <c r="A3386">
        <v>66</v>
      </c>
      <c r="B3386" s="1">
        <v>44110</v>
      </c>
      <c r="C3386" t="str">
        <f t="shared" si="1227"/>
        <v>octubre</v>
      </c>
      <c r="D3386" t="s">
        <v>56</v>
      </c>
      <c r="F3386" t="s">
        <v>236</v>
      </c>
      <c r="G3386">
        <v>10</v>
      </c>
      <c r="H3386">
        <v>120</v>
      </c>
      <c r="I3386">
        <f t="shared" si="1224"/>
        <v>1200</v>
      </c>
      <c r="J3386" t="s">
        <v>165</v>
      </c>
      <c r="K3386">
        <v>83</v>
      </c>
      <c r="M3386">
        <f t="shared" si="1228"/>
        <v>830</v>
      </c>
      <c r="N3386">
        <f t="shared" si="1229"/>
        <v>370</v>
      </c>
    </row>
    <row r="3387" spans="1:14" x14ac:dyDescent="0.25">
      <c r="A3387">
        <v>67</v>
      </c>
      <c r="B3387" s="1">
        <v>44110</v>
      </c>
      <c r="C3387" t="str">
        <f t="shared" si="1227"/>
        <v>octubre</v>
      </c>
      <c r="D3387" t="s">
        <v>55</v>
      </c>
      <c r="F3387" t="s">
        <v>22</v>
      </c>
      <c r="G3387">
        <v>1</v>
      </c>
      <c r="H3387">
        <v>300</v>
      </c>
      <c r="I3387">
        <f t="shared" si="1224"/>
        <v>300</v>
      </c>
      <c r="J3387" t="s">
        <v>167</v>
      </c>
      <c r="K3387">
        <v>268</v>
      </c>
      <c r="M3387">
        <f t="shared" si="1228"/>
        <v>268</v>
      </c>
      <c r="N3387">
        <f t="shared" si="1229"/>
        <v>32</v>
      </c>
    </row>
    <row r="3388" spans="1:14" x14ac:dyDescent="0.25">
      <c r="A3388">
        <v>68</v>
      </c>
      <c r="B3388" s="1">
        <v>44110</v>
      </c>
      <c r="C3388" t="str">
        <f t="shared" si="1227"/>
        <v>octubre</v>
      </c>
      <c r="D3388" t="s">
        <v>55</v>
      </c>
      <c r="F3388" t="s">
        <v>22</v>
      </c>
      <c r="G3388">
        <v>4</v>
      </c>
      <c r="H3388">
        <v>300</v>
      </c>
      <c r="I3388">
        <f t="shared" si="1224"/>
        <v>1200</v>
      </c>
      <c r="J3388" t="s">
        <v>167</v>
      </c>
      <c r="K3388">
        <v>268</v>
      </c>
      <c r="M3388">
        <f t="shared" si="1228"/>
        <v>1072</v>
      </c>
      <c r="N3388">
        <f t="shared" si="1229"/>
        <v>128</v>
      </c>
    </row>
    <row r="3389" spans="1:14" x14ac:dyDescent="0.25">
      <c r="A3389">
        <v>69</v>
      </c>
      <c r="B3389" s="1">
        <v>44110</v>
      </c>
      <c r="C3389" t="str">
        <f t="shared" si="1227"/>
        <v>octubre</v>
      </c>
      <c r="D3389" t="s">
        <v>15</v>
      </c>
      <c r="F3389" t="s">
        <v>29</v>
      </c>
      <c r="G3389">
        <v>7</v>
      </c>
      <c r="H3389">
        <v>240</v>
      </c>
      <c r="I3389">
        <f t="shared" si="1224"/>
        <v>1680</v>
      </c>
      <c r="J3389" t="s">
        <v>163</v>
      </c>
      <c r="K3389">
        <v>212</v>
      </c>
      <c r="M3389">
        <f t="shared" si="1228"/>
        <v>1484</v>
      </c>
      <c r="N3389">
        <f t="shared" si="1229"/>
        <v>196</v>
      </c>
    </row>
    <row r="3390" spans="1:14" x14ac:dyDescent="0.25">
      <c r="A3390">
        <v>70</v>
      </c>
      <c r="B3390" s="1">
        <v>44110</v>
      </c>
      <c r="C3390" t="str">
        <f t="shared" si="1227"/>
        <v>octubre</v>
      </c>
      <c r="D3390" t="s">
        <v>78</v>
      </c>
      <c r="F3390" t="s">
        <v>79</v>
      </c>
      <c r="G3390">
        <v>1</v>
      </c>
      <c r="H3390">
        <v>1550</v>
      </c>
      <c r="I3390">
        <f t="shared" si="1224"/>
        <v>1550</v>
      </c>
      <c r="J3390" t="s">
        <v>167</v>
      </c>
      <c r="K3390">
        <v>1260</v>
      </c>
      <c r="M3390">
        <f t="shared" si="1228"/>
        <v>1260</v>
      </c>
      <c r="N3390">
        <f t="shared" si="1229"/>
        <v>290</v>
      </c>
    </row>
    <row r="3391" spans="1:14" x14ac:dyDescent="0.25">
      <c r="A3391">
        <v>71</v>
      </c>
      <c r="B3391" s="1">
        <v>44110</v>
      </c>
      <c r="C3391" t="str">
        <f t="shared" si="1227"/>
        <v>octubre</v>
      </c>
      <c r="D3391" t="s">
        <v>56</v>
      </c>
      <c r="F3391" t="s">
        <v>267</v>
      </c>
      <c r="G3391">
        <v>5</v>
      </c>
      <c r="H3391">
        <v>170</v>
      </c>
      <c r="I3391">
        <f t="shared" si="1224"/>
        <v>850</v>
      </c>
      <c r="J3391" t="s">
        <v>163</v>
      </c>
      <c r="K3391">
        <v>125</v>
      </c>
      <c r="M3391">
        <f t="shared" si="1228"/>
        <v>625</v>
      </c>
      <c r="N3391">
        <f t="shared" si="1229"/>
        <v>225</v>
      </c>
    </row>
    <row r="3392" spans="1:14" x14ac:dyDescent="0.25">
      <c r="A3392">
        <v>72</v>
      </c>
      <c r="B3392" s="1">
        <v>44110</v>
      </c>
      <c r="C3392" t="str">
        <f t="shared" si="1227"/>
        <v>octubre</v>
      </c>
      <c r="D3392" t="s">
        <v>15</v>
      </c>
      <c r="F3392" t="s">
        <v>29</v>
      </c>
      <c r="G3392">
        <v>15</v>
      </c>
      <c r="H3392">
        <v>240</v>
      </c>
      <c r="I3392">
        <f t="shared" si="1224"/>
        <v>3600</v>
      </c>
      <c r="J3392" t="s">
        <v>163</v>
      </c>
      <c r="K3392">
        <v>212</v>
      </c>
      <c r="M3392">
        <f t="shared" si="1228"/>
        <v>3180</v>
      </c>
      <c r="N3392">
        <f t="shared" si="1229"/>
        <v>420</v>
      </c>
    </row>
    <row r="3393" spans="1:14" x14ac:dyDescent="0.25">
      <c r="A3393">
        <v>73</v>
      </c>
      <c r="B3393" s="1">
        <v>44110</v>
      </c>
      <c r="C3393" t="str">
        <f t="shared" si="1227"/>
        <v>octubre</v>
      </c>
      <c r="D3393" t="s">
        <v>75</v>
      </c>
      <c r="F3393" t="s">
        <v>443</v>
      </c>
      <c r="G3393">
        <v>32</v>
      </c>
      <c r="H3393">
        <v>45</v>
      </c>
      <c r="I3393">
        <f t="shared" si="1224"/>
        <v>1440</v>
      </c>
      <c r="J3393" t="s">
        <v>163</v>
      </c>
      <c r="K3393">
        <v>32</v>
      </c>
      <c r="M3393">
        <f t="shared" si="1228"/>
        <v>1024</v>
      </c>
      <c r="N3393">
        <f t="shared" si="1229"/>
        <v>416</v>
      </c>
    </row>
    <row r="3394" spans="1:14" x14ac:dyDescent="0.25">
      <c r="A3394">
        <v>74</v>
      </c>
      <c r="B3394" s="1">
        <v>44110</v>
      </c>
      <c r="C3394" t="str">
        <f t="shared" si="1227"/>
        <v>octubre</v>
      </c>
      <c r="D3394" t="s">
        <v>15</v>
      </c>
      <c r="F3394" t="s">
        <v>29</v>
      </c>
      <c r="G3394">
        <v>5</v>
      </c>
      <c r="H3394">
        <v>240</v>
      </c>
      <c r="I3394">
        <f t="shared" si="1224"/>
        <v>1200</v>
      </c>
      <c r="J3394" t="s">
        <v>163</v>
      </c>
      <c r="K3394">
        <v>212</v>
      </c>
      <c r="M3394">
        <f t="shared" si="1228"/>
        <v>1060</v>
      </c>
      <c r="N3394">
        <f t="shared" si="1229"/>
        <v>140</v>
      </c>
    </row>
    <row r="3395" spans="1:14" x14ac:dyDescent="0.25">
      <c r="A3395">
        <v>75</v>
      </c>
      <c r="B3395" s="1">
        <v>44110</v>
      </c>
      <c r="C3395" t="str">
        <f t="shared" si="1227"/>
        <v>octubre</v>
      </c>
      <c r="D3395" t="s">
        <v>56</v>
      </c>
      <c r="F3395" t="s">
        <v>267</v>
      </c>
      <c r="G3395">
        <v>1</v>
      </c>
      <c r="H3395">
        <v>170</v>
      </c>
      <c r="I3395">
        <f t="shared" si="1224"/>
        <v>170</v>
      </c>
      <c r="J3395" t="s">
        <v>163</v>
      </c>
      <c r="K3395">
        <v>125</v>
      </c>
      <c r="M3395">
        <f t="shared" si="1228"/>
        <v>125</v>
      </c>
      <c r="N3395">
        <f t="shared" si="1229"/>
        <v>45</v>
      </c>
    </row>
    <row r="3396" spans="1:14" x14ac:dyDescent="0.25">
      <c r="A3396">
        <v>76</v>
      </c>
      <c r="B3396" s="1">
        <v>44110</v>
      </c>
      <c r="C3396" t="str">
        <f t="shared" si="1227"/>
        <v>octubre</v>
      </c>
      <c r="D3396" t="s">
        <v>70</v>
      </c>
      <c r="F3396" t="s">
        <v>290</v>
      </c>
      <c r="G3396">
        <v>1</v>
      </c>
      <c r="H3396">
        <v>400</v>
      </c>
      <c r="I3396">
        <f t="shared" si="1224"/>
        <v>400</v>
      </c>
      <c r="J3396" t="s">
        <v>167</v>
      </c>
      <c r="K3396">
        <v>311</v>
      </c>
      <c r="M3396">
        <f t="shared" si="1228"/>
        <v>311</v>
      </c>
      <c r="N3396">
        <f t="shared" si="1229"/>
        <v>89</v>
      </c>
    </row>
    <row r="3397" spans="1:14" x14ac:dyDescent="0.25">
      <c r="A3397">
        <v>77</v>
      </c>
      <c r="B3397" s="1">
        <v>44110</v>
      </c>
      <c r="C3397" t="str">
        <f t="shared" si="1227"/>
        <v>octubre</v>
      </c>
      <c r="D3397" t="s">
        <v>55</v>
      </c>
      <c r="F3397" t="s">
        <v>22</v>
      </c>
      <c r="G3397">
        <v>3</v>
      </c>
      <c r="H3397">
        <v>300</v>
      </c>
      <c r="I3397">
        <f t="shared" si="1224"/>
        <v>900</v>
      </c>
      <c r="J3397" t="s">
        <v>167</v>
      </c>
      <c r="K3397">
        <v>268</v>
      </c>
      <c r="M3397">
        <f t="shared" si="1228"/>
        <v>804</v>
      </c>
      <c r="N3397">
        <f t="shared" si="1229"/>
        <v>96</v>
      </c>
    </row>
    <row r="3398" spans="1:14" x14ac:dyDescent="0.25">
      <c r="A3398">
        <v>78</v>
      </c>
      <c r="B3398" s="1">
        <v>44110</v>
      </c>
      <c r="C3398" t="str">
        <f t="shared" si="1227"/>
        <v>octubre</v>
      </c>
      <c r="D3398" t="s">
        <v>25</v>
      </c>
      <c r="F3398" t="s">
        <v>72</v>
      </c>
      <c r="G3398">
        <v>1</v>
      </c>
      <c r="H3398">
        <v>60</v>
      </c>
      <c r="I3398">
        <f t="shared" si="1224"/>
        <v>60</v>
      </c>
      <c r="J3398" t="s">
        <v>165</v>
      </c>
      <c r="K3398">
        <v>34</v>
      </c>
      <c r="M3398">
        <f t="shared" si="1228"/>
        <v>34</v>
      </c>
      <c r="N3398">
        <f t="shared" si="1229"/>
        <v>26</v>
      </c>
    </row>
    <row r="3399" spans="1:14" x14ac:dyDescent="0.25">
      <c r="A3399">
        <v>79</v>
      </c>
      <c r="B3399" s="1">
        <v>44110</v>
      </c>
      <c r="C3399" t="str">
        <f t="shared" si="1227"/>
        <v>octubre</v>
      </c>
      <c r="D3399" t="s">
        <v>23</v>
      </c>
      <c r="F3399" t="s">
        <v>344</v>
      </c>
      <c r="G3399">
        <v>1</v>
      </c>
      <c r="H3399">
        <v>80</v>
      </c>
      <c r="I3399">
        <f t="shared" si="1224"/>
        <v>80</v>
      </c>
      <c r="J3399" t="s">
        <v>23</v>
      </c>
      <c r="K3399">
        <v>0</v>
      </c>
      <c r="M3399" t="str">
        <f t="shared" si="1228"/>
        <v/>
      </c>
      <c r="N3399" t="str">
        <f t="shared" si="1229"/>
        <v/>
      </c>
    </row>
    <row r="3400" spans="1:14" x14ac:dyDescent="0.25">
      <c r="A3400">
        <v>80</v>
      </c>
      <c r="B3400" s="1">
        <v>44110</v>
      </c>
      <c r="C3400" t="str">
        <f t="shared" si="1227"/>
        <v>octubre</v>
      </c>
      <c r="D3400" t="s">
        <v>25</v>
      </c>
      <c r="F3400" t="s">
        <v>57</v>
      </c>
      <c r="G3400">
        <v>1</v>
      </c>
      <c r="H3400">
        <v>60</v>
      </c>
      <c r="I3400">
        <f t="shared" si="1224"/>
        <v>60</v>
      </c>
      <c r="J3400" t="s">
        <v>165</v>
      </c>
      <c r="K3400">
        <v>34</v>
      </c>
      <c r="M3400">
        <f t="shared" si="1228"/>
        <v>34</v>
      </c>
      <c r="N3400">
        <f t="shared" si="1229"/>
        <v>26</v>
      </c>
    </row>
    <row r="3401" spans="1:14" x14ac:dyDescent="0.25">
      <c r="A3401">
        <v>81</v>
      </c>
      <c r="B3401" s="1">
        <v>44111</v>
      </c>
      <c r="C3401" t="str">
        <f t="shared" si="1227"/>
        <v>octubre</v>
      </c>
      <c r="D3401" t="s">
        <v>55</v>
      </c>
      <c r="F3401" t="s">
        <v>149</v>
      </c>
      <c r="G3401">
        <f>4/12</f>
        <v>0.33333333333333331</v>
      </c>
      <c r="H3401">
        <v>300</v>
      </c>
      <c r="I3401">
        <f t="shared" si="1224"/>
        <v>100</v>
      </c>
      <c r="J3401" t="s">
        <v>167</v>
      </c>
      <c r="K3401">
        <v>268</v>
      </c>
      <c r="M3401">
        <f t="shared" si="1228"/>
        <v>89.333333333333329</v>
      </c>
      <c r="N3401">
        <f t="shared" si="1229"/>
        <v>10.666666666666671</v>
      </c>
    </row>
    <row r="3402" spans="1:14" x14ac:dyDescent="0.25">
      <c r="A3402">
        <v>82</v>
      </c>
      <c r="B3402" s="1">
        <v>44111</v>
      </c>
      <c r="C3402" t="str">
        <f t="shared" si="1227"/>
        <v>octubre</v>
      </c>
      <c r="D3402" t="s">
        <v>25</v>
      </c>
      <c r="F3402" t="s">
        <v>83</v>
      </c>
      <c r="G3402">
        <v>2</v>
      </c>
      <c r="H3402">
        <v>60</v>
      </c>
      <c r="I3402">
        <f t="shared" ref="I3402:I3465" si="1230">+G3402*H3402</f>
        <v>120</v>
      </c>
      <c r="J3402" t="s">
        <v>165</v>
      </c>
      <c r="K3402">
        <v>34</v>
      </c>
      <c r="M3402">
        <f t="shared" si="1228"/>
        <v>68</v>
      </c>
      <c r="N3402">
        <f t="shared" si="1229"/>
        <v>52</v>
      </c>
    </row>
    <row r="3403" spans="1:14" x14ac:dyDescent="0.25">
      <c r="A3403">
        <v>83</v>
      </c>
      <c r="B3403" s="1">
        <v>44111</v>
      </c>
      <c r="C3403" t="str">
        <f t="shared" si="1227"/>
        <v>octubre</v>
      </c>
      <c r="D3403" t="s">
        <v>15</v>
      </c>
      <c r="F3403" t="s">
        <v>28</v>
      </c>
      <c r="G3403">
        <v>11</v>
      </c>
      <c r="H3403">
        <v>240</v>
      </c>
      <c r="I3403">
        <f t="shared" si="1230"/>
        <v>2640</v>
      </c>
      <c r="J3403" t="s">
        <v>163</v>
      </c>
      <c r="K3403">
        <v>217</v>
      </c>
      <c r="M3403">
        <f t="shared" si="1228"/>
        <v>2387</v>
      </c>
      <c r="N3403">
        <f t="shared" si="1229"/>
        <v>253</v>
      </c>
    </row>
    <row r="3404" spans="1:14" x14ac:dyDescent="0.25">
      <c r="A3404">
        <v>84</v>
      </c>
      <c r="B3404" s="1">
        <v>44111</v>
      </c>
      <c r="C3404" t="str">
        <f t="shared" si="1227"/>
        <v>octubre</v>
      </c>
      <c r="D3404" t="s">
        <v>56</v>
      </c>
      <c r="F3404" t="s">
        <v>267</v>
      </c>
      <c r="G3404">
        <v>3</v>
      </c>
      <c r="H3404">
        <v>170</v>
      </c>
      <c r="I3404">
        <f t="shared" si="1230"/>
        <v>510</v>
      </c>
      <c r="J3404" t="s">
        <v>163</v>
      </c>
      <c r="K3404">
        <v>125</v>
      </c>
      <c r="M3404">
        <f t="shared" si="1228"/>
        <v>375</v>
      </c>
      <c r="N3404">
        <f t="shared" si="1229"/>
        <v>135</v>
      </c>
    </row>
    <row r="3405" spans="1:14" x14ac:dyDescent="0.25">
      <c r="A3405">
        <v>85</v>
      </c>
      <c r="B3405" s="1">
        <v>44111</v>
      </c>
      <c r="C3405" t="str">
        <f t="shared" si="1227"/>
        <v>octubre</v>
      </c>
      <c r="D3405" t="s">
        <v>25</v>
      </c>
      <c r="F3405" t="s">
        <v>147</v>
      </c>
      <c r="G3405">
        <v>2</v>
      </c>
      <c r="H3405">
        <v>60</v>
      </c>
      <c r="I3405">
        <f t="shared" si="1230"/>
        <v>120</v>
      </c>
      <c r="J3405" t="s">
        <v>165</v>
      </c>
      <c r="K3405">
        <v>34</v>
      </c>
      <c r="M3405">
        <f t="shared" si="1228"/>
        <v>68</v>
      </c>
      <c r="N3405">
        <f t="shared" si="1229"/>
        <v>52</v>
      </c>
    </row>
    <row r="3406" spans="1:14" x14ac:dyDescent="0.25">
      <c r="A3406">
        <v>86</v>
      </c>
      <c r="B3406" s="1">
        <v>44111</v>
      </c>
      <c r="C3406" t="str">
        <f t="shared" si="1227"/>
        <v>octubre</v>
      </c>
      <c r="D3406" t="s">
        <v>44</v>
      </c>
      <c r="F3406" t="s">
        <v>382</v>
      </c>
      <c r="G3406">
        <v>1</v>
      </c>
      <c r="H3406">
        <v>35</v>
      </c>
      <c r="I3406">
        <f t="shared" si="1230"/>
        <v>35</v>
      </c>
      <c r="J3406" t="s">
        <v>166</v>
      </c>
      <c r="K3406">
        <v>22</v>
      </c>
      <c r="M3406">
        <f t="shared" si="1228"/>
        <v>22</v>
      </c>
      <c r="N3406">
        <f t="shared" si="1229"/>
        <v>13</v>
      </c>
    </row>
    <row r="3407" spans="1:14" x14ac:dyDescent="0.25">
      <c r="A3407">
        <v>87</v>
      </c>
      <c r="B3407" s="1">
        <v>44111</v>
      </c>
      <c r="C3407" t="str">
        <f t="shared" si="1227"/>
        <v>octubre</v>
      </c>
      <c r="D3407" t="s">
        <v>15</v>
      </c>
      <c r="F3407" t="s">
        <v>29</v>
      </c>
      <c r="G3407">
        <v>12.5</v>
      </c>
      <c r="H3407">
        <v>240</v>
      </c>
      <c r="I3407">
        <f t="shared" si="1230"/>
        <v>3000</v>
      </c>
      <c r="J3407" t="s">
        <v>163</v>
      </c>
      <c r="K3407">
        <v>212</v>
      </c>
      <c r="M3407">
        <f t="shared" si="1228"/>
        <v>2650</v>
      </c>
      <c r="N3407">
        <f t="shared" si="1229"/>
        <v>350</v>
      </c>
    </row>
    <row r="3408" spans="1:14" x14ac:dyDescent="0.25">
      <c r="A3408">
        <v>88</v>
      </c>
      <c r="B3408" s="1">
        <v>44111</v>
      </c>
      <c r="C3408" t="str">
        <f t="shared" si="1227"/>
        <v>octubre</v>
      </c>
      <c r="D3408" t="s">
        <v>15</v>
      </c>
      <c r="F3408" t="s">
        <v>401</v>
      </c>
      <c r="G3408">
        <f>4/9</f>
        <v>0.44444444444444442</v>
      </c>
      <c r="H3408">
        <v>300</v>
      </c>
      <c r="I3408">
        <f t="shared" si="1230"/>
        <v>133.33333333333331</v>
      </c>
      <c r="J3408" t="s">
        <v>167</v>
      </c>
      <c r="K3408">
        <v>268</v>
      </c>
      <c r="M3408">
        <f t="shared" si="1228"/>
        <v>119.1111111111111</v>
      </c>
      <c r="N3408">
        <f t="shared" si="1229"/>
        <v>14.222222222222214</v>
      </c>
    </row>
    <row r="3409" spans="1:14" x14ac:dyDescent="0.25">
      <c r="A3409">
        <v>89</v>
      </c>
      <c r="B3409" s="1">
        <v>44111</v>
      </c>
      <c r="C3409" t="str">
        <f t="shared" si="1227"/>
        <v>octubre</v>
      </c>
      <c r="D3409" t="s">
        <v>15</v>
      </c>
      <c r="F3409" t="s">
        <v>63</v>
      </c>
      <c r="G3409">
        <f>1/9</f>
        <v>0.1111111111111111</v>
      </c>
      <c r="H3409">
        <v>290</v>
      </c>
      <c r="I3409">
        <f t="shared" si="1230"/>
        <v>32.222222222222221</v>
      </c>
      <c r="J3409" t="s">
        <v>163</v>
      </c>
      <c r="K3409">
        <v>248</v>
      </c>
      <c r="M3409">
        <f t="shared" si="1228"/>
        <v>27.555555555555554</v>
      </c>
      <c r="N3409">
        <f t="shared" si="1229"/>
        <v>4.6666666666666679</v>
      </c>
    </row>
    <row r="3410" spans="1:14" x14ac:dyDescent="0.25">
      <c r="A3410">
        <v>90</v>
      </c>
      <c r="B3410" s="1">
        <v>44111</v>
      </c>
      <c r="C3410" t="str">
        <f t="shared" si="1227"/>
        <v>octubre</v>
      </c>
      <c r="D3410" t="s">
        <v>15</v>
      </c>
      <c r="F3410" t="s">
        <v>29</v>
      </c>
      <c r="G3410">
        <v>30</v>
      </c>
      <c r="H3410">
        <v>240</v>
      </c>
      <c r="I3410">
        <f t="shared" si="1230"/>
        <v>7200</v>
      </c>
      <c r="J3410" t="s">
        <v>163</v>
      </c>
      <c r="K3410">
        <v>212</v>
      </c>
      <c r="M3410">
        <f t="shared" si="1228"/>
        <v>6360</v>
      </c>
      <c r="N3410">
        <f t="shared" si="1229"/>
        <v>840</v>
      </c>
    </row>
    <row r="3411" spans="1:14" x14ac:dyDescent="0.25">
      <c r="A3411">
        <v>91</v>
      </c>
      <c r="B3411" s="1">
        <v>44111</v>
      </c>
      <c r="C3411" t="str">
        <f t="shared" si="1227"/>
        <v>octubre</v>
      </c>
      <c r="D3411" t="s">
        <v>44</v>
      </c>
      <c r="F3411" t="s">
        <v>382</v>
      </c>
      <c r="G3411">
        <v>1</v>
      </c>
      <c r="H3411">
        <v>35</v>
      </c>
      <c r="I3411">
        <f t="shared" si="1230"/>
        <v>35</v>
      </c>
      <c r="J3411" t="s">
        <v>166</v>
      </c>
      <c r="K3411">
        <v>22</v>
      </c>
      <c r="M3411">
        <f t="shared" si="1228"/>
        <v>22</v>
      </c>
      <c r="N3411">
        <f t="shared" si="1229"/>
        <v>13</v>
      </c>
    </row>
    <row r="3412" spans="1:14" x14ac:dyDescent="0.25">
      <c r="A3412">
        <v>92</v>
      </c>
      <c r="B3412" s="1">
        <v>44112</v>
      </c>
      <c r="C3412" t="str">
        <f t="shared" si="1227"/>
        <v>octubre</v>
      </c>
      <c r="D3412" t="s">
        <v>15</v>
      </c>
      <c r="F3412" t="s">
        <v>490</v>
      </c>
      <c r="G3412">
        <v>18</v>
      </c>
      <c r="H3412">
        <v>240</v>
      </c>
      <c r="I3412">
        <f t="shared" si="1230"/>
        <v>4320</v>
      </c>
      <c r="J3412" t="s">
        <v>167</v>
      </c>
      <c r="K3412">
        <v>207</v>
      </c>
      <c r="M3412">
        <f t="shared" si="1228"/>
        <v>3726</v>
      </c>
      <c r="N3412">
        <f t="shared" si="1229"/>
        <v>594</v>
      </c>
    </row>
    <row r="3413" spans="1:14" x14ac:dyDescent="0.25">
      <c r="A3413">
        <v>93</v>
      </c>
      <c r="B3413" s="1">
        <v>44112</v>
      </c>
      <c r="C3413" t="str">
        <f t="shared" si="1227"/>
        <v>octubre</v>
      </c>
      <c r="D3413" t="s">
        <v>55</v>
      </c>
      <c r="F3413" t="s">
        <v>505</v>
      </c>
      <c r="G3413">
        <v>2.5</v>
      </c>
      <c r="H3413">
        <v>270</v>
      </c>
      <c r="I3413">
        <f t="shared" si="1230"/>
        <v>675</v>
      </c>
      <c r="J3413" t="s">
        <v>167</v>
      </c>
      <c r="K3413">
        <v>207</v>
      </c>
      <c r="M3413">
        <f t="shared" si="1228"/>
        <v>517.5</v>
      </c>
      <c r="N3413">
        <f t="shared" si="1229"/>
        <v>157.5</v>
      </c>
    </row>
    <row r="3414" spans="1:14" x14ac:dyDescent="0.25">
      <c r="A3414">
        <v>94</v>
      </c>
      <c r="B3414" s="1">
        <v>44112</v>
      </c>
      <c r="C3414" t="str">
        <f t="shared" si="1227"/>
        <v>octubre</v>
      </c>
      <c r="D3414" t="s">
        <v>55</v>
      </c>
      <c r="F3414" t="s">
        <v>228</v>
      </c>
      <c r="G3414">
        <v>12</v>
      </c>
      <c r="H3414">
        <v>300</v>
      </c>
      <c r="I3414">
        <f t="shared" si="1230"/>
        <v>3600</v>
      </c>
      <c r="J3414" t="s">
        <v>167</v>
      </c>
      <c r="K3414">
        <v>268</v>
      </c>
      <c r="M3414">
        <f t="shared" si="1228"/>
        <v>3216</v>
      </c>
      <c r="N3414">
        <f t="shared" si="1229"/>
        <v>384</v>
      </c>
    </row>
    <row r="3415" spans="1:14" x14ac:dyDescent="0.25">
      <c r="A3415">
        <v>95</v>
      </c>
      <c r="B3415" s="1">
        <v>44112</v>
      </c>
      <c r="C3415" t="str">
        <f t="shared" si="1227"/>
        <v>octubre</v>
      </c>
      <c r="D3415" t="s">
        <v>56</v>
      </c>
      <c r="F3415" t="s">
        <v>267</v>
      </c>
      <c r="G3415">
        <v>4</v>
      </c>
      <c r="H3415">
        <v>170</v>
      </c>
      <c r="I3415">
        <f t="shared" si="1230"/>
        <v>680</v>
      </c>
      <c r="J3415" t="s">
        <v>163</v>
      </c>
      <c r="K3415">
        <v>125</v>
      </c>
      <c r="M3415">
        <f t="shared" si="1228"/>
        <v>500</v>
      </c>
      <c r="N3415">
        <f t="shared" si="1229"/>
        <v>180</v>
      </c>
    </row>
    <row r="3416" spans="1:14" x14ac:dyDescent="0.25">
      <c r="A3416">
        <v>96</v>
      </c>
      <c r="B3416" s="1">
        <v>44112</v>
      </c>
      <c r="C3416" t="str">
        <f t="shared" si="1227"/>
        <v>octubre</v>
      </c>
      <c r="D3416" t="s">
        <v>25</v>
      </c>
      <c r="F3416" t="s">
        <v>147</v>
      </c>
      <c r="G3416">
        <v>10</v>
      </c>
      <c r="H3416">
        <v>60</v>
      </c>
      <c r="I3416">
        <f t="shared" si="1230"/>
        <v>600</v>
      </c>
      <c r="J3416" t="s">
        <v>165</v>
      </c>
      <c r="K3416">
        <v>34</v>
      </c>
      <c r="M3416">
        <f t="shared" si="1228"/>
        <v>340</v>
      </c>
      <c r="N3416">
        <f t="shared" si="1229"/>
        <v>260</v>
      </c>
    </row>
    <row r="3417" spans="1:14" x14ac:dyDescent="0.25">
      <c r="A3417">
        <v>97</v>
      </c>
      <c r="B3417" s="1">
        <v>44112</v>
      </c>
      <c r="C3417" t="str">
        <f t="shared" si="1227"/>
        <v>octubre</v>
      </c>
      <c r="D3417" t="s">
        <v>25</v>
      </c>
      <c r="F3417" t="s">
        <v>506</v>
      </c>
      <c r="G3417">
        <v>4</v>
      </c>
      <c r="H3417">
        <v>60</v>
      </c>
      <c r="I3417">
        <f t="shared" si="1230"/>
        <v>240</v>
      </c>
      <c r="J3417" t="s">
        <v>165</v>
      </c>
      <c r="K3417">
        <v>34</v>
      </c>
      <c r="M3417">
        <f t="shared" si="1228"/>
        <v>136</v>
      </c>
      <c r="N3417">
        <f t="shared" si="1229"/>
        <v>104</v>
      </c>
    </row>
    <row r="3418" spans="1:14" x14ac:dyDescent="0.25">
      <c r="A3418">
        <v>98</v>
      </c>
      <c r="B3418" s="1">
        <v>44112</v>
      </c>
      <c r="C3418" t="str">
        <f t="shared" si="1227"/>
        <v>octubre</v>
      </c>
      <c r="D3418" t="s">
        <v>15</v>
      </c>
      <c r="F3418" t="s">
        <v>32</v>
      </c>
      <c r="G3418">
        <v>1.53</v>
      </c>
      <c r="H3418">
        <v>280</v>
      </c>
      <c r="I3418">
        <f t="shared" si="1230"/>
        <v>428.40000000000003</v>
      </c>
      <c r="J3418" t="s">
        <v>163</v>
      </c>
      <c r="K3418">
        <v>243</v>
      </c>
      <c r="M3418">
        <f t="shared" si="1228"/>
        <v>371.79</v>
      </c>
      <c r="N3418">
        <f t="shared" si="1229"/>
        <v>56.610000000000014</v>
      </c>
    </row>
    <row r="3419" spans="1:14" x14ac:dyDescent="0.25">
      <c r="A3419">
        <v>99</v>
      </c>
      <c r="B3419" s="1">
        <v>44112</v>
      </c>
      <c r="C3419" t="str">
        <f t="shared" si="1227"/>
        <v>octubre</v>
      </c>
      <c r="D3419" t="s">
        <v>25</v>
      </c>
      <c r="F3419" t="s">
        <v>60</v>
      </c>
      <c r="G3419">
        <v>1</v>
      </c>
      <c r="H3419">
        <v>60</v>
      </c>
      <c r="I3419">
        <f t="shared" si="1230"/>
        <v>60</v>
      </c>
      <c r="J3419" t="s">
        <v>165</v>
      </c>
      <c r="K3419">
        <v>34</v>
      </c>
      <c r="M3419">
        <f t="shared" si="1228"/>
        <v>34</v>
      </c>
      <c r="N3419">
        <f t="shared" si="1229"/>
        <v>26</v>
      </c>
    </row>
    <row r="3420" spans="1:14" x14ac:dyDescent="0.25">
      <c r="A3420">
        <v>100</v>
      </c>
      <c r="B3420" s="1">
        <v>44112</v>
      </c>
      <c r="C3420" t="str">
        <f t="shared" si="1227"/>
        <v>octubre</v>
      </c>
      <c r="D3420" t="s">
        <v>25</v>
      </c>
      <c r="F3420" t="s">
        <v>148</v>
      </c>
      <c r="G3420">
        <v>8</v>
      </c>
      <c r="H3420">
        <v>60</v>
      </c>
      <c r="I3420">
        <f t="shared" si="1230"/>
        <v>480</v>
      </c>
      <c r="J3420" t="s">
        <v>165</v>
      </c>
      <c r="K3420">
        <v>34</v>
      </c>
      <c r="M3420">
        <f t="shared" si="1228"/>
        <v>272</v>
      </c>
      <c r="N3420">
        <f t="shared" si="1229"/>
        <v>208</v>
      </c>
    </row>
    <row r="3421" spans="1:14" x14ac:dyDescent="0.25">
      <c r="A3421">
        <v>101</v>
      </c>
      <c r="B3421" s="1">
        <v>44112</v>
      </c>
      <c r="C3421" t="str">
        <f t="shared" si="1227"/>
        <v>octubre</v>
      </c>
      <c r="D3421" t="s">
        <v>23</v>
      </c>
      <c r="F3421" t="s">
        <v>507</v>
      </c>
      <c r="G3421">
        <v>1</v>
      </c>
      <c r="H3421">
        <v>70</v>
      </c>
      <c r="I3421">
        <f t="shared" si="1230"/>
        <v>70</v>
      </c>
      <c r="J3421" t="s">
        <v>187</v>
      </c>
      <c r="K3421">
        <v>50</v>
      </c>
      <c r="M3421">
        <f t="shared" si="1228"/>
        <v>50</v>
      </c>
      <c r="N3421">
        <f t="shared" si="1229"/>
        <v>20</v>
      </c>
    </row>
    <row r="3422" spans="1:14" x14ac:dyDescent="0.25">
      <c r="A3422">
        <v>102</v>
      </c>
      <c r="B3422" s="1">
        <v>44112</v>
      </c>
      <c r="C3422" t="str">
        <f t="shared" ref="C3422:C3485" si="1231">+TEXT(B3422,"mmmm")</f>
        <v>octubre</v>
      </c>
      <c r="D3422" t="s">
        <v>44</v>
      </c>
      <c r="F3422" t="s">
        <v>412</v>
      </c>
      <c r="G3422">
        <v>3</v>
      </c>
      <c r="H3422">
        <v>35</v>
      </c>
      <c r="I3422">
        <f t="shared" si="1230"/>
        <v>105</v>
      </c>
      <c r="J3422" t="s">
        <v>166</v>
      </c>
      <c r="K3422">
        <v>20</v>
      </c>
      <c r="M3422">
        <f t="shared" si="1228"/>
        <v>60</v>
      </c>
      <c r="N3422">
        <f t="shared" si="1229"/>
        <v>45</v>
      </c>
    </row>
    <row r="3423" spans="1:14" x14ac:dyDescent="0.25">
      <c r="A3423">
        <v>103</v>
      </c>
      <c r="B3423" s="1">
        <v>44112</v>
      </c>
      <c r="C3423" t="str">
        <f t="shared" si="1231"/>
        <v>octubre</v>
      </c>
      <c r="D3423" t="s">
        <v>15</v>
      </c>
      <c r="F3423" t="s">
        <v>20</v>
      </c>
      <c r="G3423">
        <v>1.54</v>
      </c>
      <c r="H3423">
        <v>270</v>
      </c>
      <c r="I3423">
        <f t="shared" si="1230"/>
        <v>415.8</v>
      </c>
      <c r="J3423" t="s">
        <v>163</v>
      </c>
      <c r="K3423">
        <v>232</v>
      </c>
      <c r="M3423">
        <f t="shared" si="1228"/>
        <v>357.28000000000003</v>
      </c>
      <c r="N3423">
        <f t="shared" si="1229"/>
        <v>58.519999999999982</v>
      </c>
    </row>
    <row r="3424" spans="1:14" x14ac:dyDescent="0.25">
      <c r="A3424">
        <v>104</v>
      </c>
      <c r="B3424" s="1">
        <v>44112</v>
      </c>
      <c r="C3424" t="str">
        <f t="shared" si="1231"/>
        <v>octubre</v>
      </c>
      <c r="D3424" t="s">
        <v>25</v>
      </c>
      <c r="F3424" t="s">
        <v>142</v>
      </c>
      <c r="G3424">
        <v>1</v>
      </c>
      <c r="H3424">
        <v>60</v>
      </c>
      <c r="I3424">
        <f t="shared" si="1230"/>
        <v>60</v>
      </c>
      <c r="J3424" t="s">
        <v>165</v>
      </c>
      <c r="K3424">
        <v>34</v>
      </c>
      <c r="M3424">
        <f t="shared" si="1228"/>
        <v>34</v>
      </c>
      <c r="N3424">
        <f t="shared" si="1229"/>
        <v>26</v>
      </c>
    </row>
    <row r="3425" spans="1:14" x14ac:dyDescent="0.25">
      <c r="A3425">
        <v>105</v>
      </c>
      <c r="B3425" s="1">
        <v>44112</v>
      </c>
      <c r="C3425" t="str">
        <f t="shared" si="1231"/>
        <v>octubre</v>
      </c>
      <c r="D3425" t="s">
        <v>55</v>
      </c>
      <c r="F3425" t="s">
        <v>508</v>
      </c>
      <c r="G3425">
        <v>4.5</v>
      </c>
      <c r="H3425">
        <v>310</v>
      </c>
      <c r="I3425">
        <f t="shared" si="1230"/>
        <v>1395</v>
      </c>
      <c r="J3425" t="s">
        <v>167</v>
      </c>
      <c r="K3425">
        <v>279</v>
      </c>
      <c r="M3425">
        <f t="shared" si="1228"/>
        <v>1255.5</v>
      </c>
      <c r="N3425">
        <f t="shared" si="1229"/>
        <v>139.5</v>
      </c>
    </row>
    <row r="3426" spans="1:14" x14ac:dyDescent="0.25">
      <c r="A3426">
        <v>106</v>
      </c>
      <c r="B3426" s="1">
        <v>44113</v>
      </c>
      <c r="C3426" t="str">
        <f t="shared" si="1231"/>
        <v>octubre</v>
      </c>
      <c r="D3426" t="s">
        <v>23</v>
      </c>
      <c r="F3426" t="s">
        <v>475</v>
      </c>
      <c r="G3426">
        <v>1</v>
      </c>
      <c r="H3426">
        <v>60</v>
      </c>
      <c r="I3426">
        <f t="shared" si="1230"/>
        <v>60</v>
      </c>
      <c r="J3426" t="s">
        <v>187</v>
      </c>
      <c r="K3426">
        <v>35</v>
      </c>
      <c r="M3426">
        <f t="shared" si="1228"/>
        <v>35</v>
      </c>
      <c r="N3426">
        <f t="shared" si="1229"/>
        <v>25</v>
      </c>
    </row>
    <row r="3427" spans="1:14" x14ac:dyDescent="0.25">
      <c r="A3427">
        <v>107</v>
      </c>
      <c r="B3427" s="1">
        <v>44113</v>
      </c>
      <c r="C3427" t="str">
        <f t="shared" si="1231"/>
        <v>octubre</v>
      </c>
      <c r="D3427" t="s">
        <v>25</v>
      </c>
      <c r="F3427" t="s">
        <v>128</v>
      </c>
      <c r="G3427">
        <v>1</v>
      </c>
      <c r="H3427">
        <v>60</v>
      </c>
      <c r="I3427">
        <f t="shared" si="1230"/>
        <v>60</v>
      </c>
      <c r="J3427" t="s">
        <v>165</v>
      </c>
      <c r="K3427">
        <v>34</v>
      </c>
      <c r="M3427">
        <f t="shared" si="1228"/>
        <v>34</v>
      </c>
      <c r="N3427">
        <f t="shared" si="1229"/>
        <v>26</v>
      </c>
    </row>
    <row r="3428" spans="1:14" x14ac:dyDescent="0.25">
      <c r="A3428">
        <v>108</v>
      </c>
      <c r="B3428" s="1">
        <v>44113</v>
      </c>
      <c r="C3428" t="str">
        <f t="shared" si="1231"/>
        <v>octubre</v>
      </c>
      <c r="D3428" t="s">
        <v>44</v>
      </c>
      <c r="F3428" t="s">
        <v>138</v>
      </c>
      <c r="G3428">
        <v>1</v>
      </c>
      <c r="H3428">
        <v>35</v>
      </c>
      <c r="I3428">
        <f t="shared" si="1230"/>
        <v>35</v>
      </c>
      <c r="J3428" t="s">
        <v>166</v>
      </c>
      <c r="K3428">
        <v>26</v>
      </c>
      <c r="M3428">
        <f t="shared" si="1228"/>
        <v>26</v>
      </c>
      <c r="N3428">
        <f t="shared" si="1229"/>
        <v>9</v>
      </c>
    </row>
    <row r="3429" spans="1:14" x14ac:dyDescent="0.25">
      <c r="A3429">
        <v>109</v>
      </c>
      <c r="B3429" s="1">
        <v>44113</v>
      </c>
      <c r="C3429" t="str">
        <f t="shared" si="1231"/>
        <v>octubre</v>
      </c>
      <c r="D3429" t="s">
        <v>25</v>
      </c>
      <c r="F3429" t="s">
        <v>127</v>
      </c>
      <c r="G3429">
        <v>1</v>
      </c>
      <c r="H3429">
        <v>60</v>
      </c>
      <c r="I3429">
        <f t="shared" si="1230"/>
        <v>60</v>
      </c>
      <c r="J3429" t="s">
        <v>165</v>
      </c>
      <c r="K3429">
        <v>34</v>
      </c>
      <c r="M3429">
        <f t="shared" si="1228"/>
        <v>34</v>
      </c>
      <c r="N3429">
        <f t="shared" si="1229"/>
        <v>26</v>
      </c>
    </row>
    <row r="3430" spans="1:14" x14ac:dyDescent="0.25">
      <c r="A3430">
        <v>110</v>
      </c>
      <c r="B3430" s="1">
        <v>44113</v>
      </c>
      <c r="C3430" t="str">
        <f t="shared" si="1231"/>
        <v>octubre</v>
      </c>
      <c r="D3430" t="s">
        <v>25</v>
      </c>
      <c r="F3430" t="s">
        <v>145</v>
      </c>
      <c r="G3430">
        <v>1</v>
      </c>
      <c r="H3430">
        <v>100</v>
      </c>
      <c r="I3430">
        <f t="shared" si="1230"/>
        <v>100</v>
      </c>
      <c r="J3430" t="s">
        <v>163</v>
      </c>
      <c r="K3430">
        <v>80</v>
      </c>
      <c r="M3430">
        <f t="shared" si="1228"/>
        <v>80</v>
      </c>
      <c r="N3430">
        <f t="shared" si="1229"/>
        <v>20</v>
      </c>
    </row>
    <row r="3431" spans="1:14" x14ac:dyDescent="0.25">
      <c r="A3431">
        <v>111</v>
      </c>
      <c r="B3431" s="1">
        <v>44113</v>
      </c>
      <c r="C3431" t="str">
        <f t="shared" si="1231"/>
        <v>octubre</v>
      </c>
      <c r="D3431" t="s">
        <v>56</v>
      </c>
      <c r="F3431" t="s">
        <v>267</v>
      </c>
      <c r="G3431">
        <v>20</v>
      </c>
      <c r="H3431">
        <v>165</v>
      </c>
      <c r="I3431">
        <f t="shared" si="1230"/>
        <v>3300</v>
      </c>
      <c r="J3431" t="s">
        <v>163</v>
      </c>
      <c r="K3431">
        <v>125</v>
      </c>
      <c r="M3431">
        <f t="shared" si="1228"/>
        <v>2500</v>
      </c>
      <c r="N3431">
        <f t="shared" si="1229"/>
        <v>800</v>
      </c>
    </row>
    <row r="3432" spans="1:14" x14ac:dyDescent="0.25">
      <c r="A3432">
        <v>112</v>
      </c>
      <c r="B3432" s="1">
        <v>44113</v>
      </c>
      <c r="C3432" t="str">
        <f t="shared" si="1231"/>
        <v>octubre</v>
      </c>
      <c r="D3432" t="s">
        <v>68</v>
      </c>
      <c r="F3432" t="s">
        <v>509</v>
      </c>
      <c r="G3432">
        <v>1</v>
      </c>
      <c r="H3432">
        <v>40</v>
      </c>
      <c r="I3432">
        <f t="shared" si="1230"/>
        <v>40</v>
      </c>
      <c r="M3432" t="str">
        <f t="shared" si="1228"/>
        <v/>
      </c>
      <c r="N3432" t="str">
        <f t="shared" si="1229"/>
        <v/>
      </c>
    </row>
    <row r="3433" spans="1:14" x14ac:dyDescent="0.25">
      <c r="A3433">
        <v>113</v>
      </c>
      <c r="B3433" s="1">
        <v>44114</v>
      </c>
      <c r="C3433" t="str">
        <f t="shared" si="1231"/>
        <v>octubre</v>
      </c>
      <c r="D3433" t="s">
        <v>15</v>
      </c>
      <c r="F3433" t="s">
        <v>510</v>
      </c>
      <c r="G3433">
        <v>7</v>
      </c>
      <c r="H3433">
        <v>360</v>
      </c>
      <c r="I3433">
        <f t="shared" si="1230"/>
        <v>2520</v>
      </c>
      <c r="J3433" t="s">
        <v>167</v>
      </c>
      <c r="K3433">
        <v>290</v>
      </c>
      <c r="M3433">
        <f t="shared" si="1228"/>
        <v>2030</v>
      </c>
      <c r="N3433">
        <f t="shared" si="1229"/>
        <v>490</v>
      </c>
    </row>
    <row r="3434" spans="1:14" x14ac:dyDescent="0.25">
      <c r="A3434">
        <v>114</v>
      </c>
      <c r="B3434" s="1">
        <v>44114</v>
      </c>
      <c r="C3434" t="str">
        <f t="shared" si="1231"/>
        <v>octubre</v>
      </c>
      <c r="D3434" t="s">
        <v>15</v>
      </c>
      <c r="F3434" t="s">
        <v>29</v>
      </c>
      <c r="G3434">
        <v>16</v>
      </c>
      <c r="H3434">
        <v>240</v>
      </c>
      <c r="I3434">
        <f t="shared" si="1230"/>
        <v>3840</v>
      </c>
      <c r="J3434" t="s">
        <v>163</v>
      </c>
      <c r="K3434">
        <v>212</v>
      </c>
      <c r="M3434">
        <f t="shared" si="1228"/>
        <v>3392</v>
      </c>
      <c r="N3434">
        <f t="shared" si="1229"/>
        <v>448</v>
      </c>
    </row>
    <row r="3435" spans="1:14" x14ac:dyDescent="0.25">
      <c r="A3435">
        <v>115</v>
      </c>
      <c r="B3435" s="1">
        <v>44114</v>
      </c>
      <c r="C3435" t="str">
        <f t="shared" si="1231"/>
        <v>octubre</v>
      </c>
      <c r="D3435" t="s">
        <v>44</v>
      </c>
      <c r="F3435" t="s">
        <v>138</v>
      </c>
      <c r="G3435">
        <v>1</v>
      </c>
      <c r="H3435">
        <v>35</v>
      </c>
      <c r="I3435">
        <f t="shared" si="1230"/>
        <v>35</v>
      </c>
      <c r="J3435" t="s">
        <v>166</v>
      </c>
      <c r="K3435">
        <v>26</v>
      </c>
      <c r="M3435">
        <f t="shared" ref="M3435:M3498" si="1232">+IF(K3435=0,(""),(K3435*G3435))</f>
        <v>26</v>
      </c>
      <c r="N3435">
        <f t="shared" ref="N3435:N3498" si="1233">+IF(K3435=0,(""),(I3435-M3435))</f>
        <v>9</v>
      </c>
    </row>
    <row r="3436" spans="1:14" x14ac:dyDescent="0.25">
      <c r="A3436">
        <v>116</v>
      </c>
      <c r="B3436" s="1">
        <v>44114</v>
      </c>
      <c r="C3436" t="str">
        <f t="shared" si="1231"/>
        <v>octubre</v>
      </c>
      <c r="D3436" t="s">
        <v>24</v>
      </c>
      <c r="F3436" t="s">
        <v>24</v>
      </c>
      <c r="G3436">
        <v>2</v>
      </c>
      <c r="H3436">
        <v>100</v>
      </c>
      <c r="I3436">
        <f t="shared" si="1230"/>
        <v>200</v>
      </c>
      <c r="J3436" t="s">
        <v>186</v>
      </c>
      <c r="K3436">
        <v>80</v>
      </c>
      <c r="M3436">
        <f t="shared" si="1232"/>
        <v>160</v>
      </c>
      <c r="N3436">
        <f t="shared" si="1233"/>
        <v>40</v>
      </c>
    </row>
    <row r="3437" spans="1:14" x14ac:dyDescent="0.25">
      <c r="A3437">
        <v>117</v>
      </c>
      <c r="B3437" s="1">
        <v>44114</v>
      </c>
      <c r="C3437" t="str">
        <f t="shared" si="1231"/>
        <v>octubre</v>
      </c>
      <c r="D3437" t="s">
        <v>56</v>
      </c>
      <c r="F3437" t="s">
        <v>236</v>
      </c>
      <c r="G3437">
        <v>4</v>
      </c>
      <c r="H3437">
        <v>120</v>
      </c>
      <c r="I3437">
        <f t="shared" si="1230"/>
        <v>480</v>
      </c>
      <c r="J3437" t="s">
        <v>165</v>
      </c>
      <c r="K3437">
        <v>83</v>
      </c>
      <c r="M3437">
        <f t="shared" si="1232"/>
        <v>332</v>
      </c>
      <c r="N3437">
        <f t="shared" si="1233"/>
        <v>148</v>
      </c>
    </row>
    <row r="3438" spans="1:14" x14ac:dyDescent="0.25">
      <c r="A3438">
        <v>118</v>
      </c>
      <c r="B3438" s="1">
        <v>44114</v>
      </c>
      <c r="C3438" t="str">
        <f t="shared" si="1231"/>
        <v>octubre</v>
      </c>
      <c r="D3438" t="s">
        <v>25</v>
      </c>
      <c r="F3438" t="s">
        <v>127</v>
      </c>
      <c r="G3438">
        <v>2</v>
      </c>
      <c r="H3438">
        <v>60</v>
      </c>
      <c r="I3438">
        <f t="shared" si="1230"/>
        <v>120</v>
      </c>
      <c r="J3438" t="s">
        <v>165</v>
      </c>
      <c r="K3438">
        <v>34</v>
      </c>
      <c r="M3438">
        <f t="shared" si="1232"/>
        <v>68</v>
      </c>
      <c r="N3438">
        <f t="shared" si="1233"/>
        <v>52</v>
      </c>
    </row>
    <row r="3439" spans="1:14" x14ac:dyDescent="0.25">
      <c r="A3439">
        <v>119</v>
      </c>
      <c r="B3439" s="1">
        <v>44114</v>
      </c>
      <c r="C3439" t="str">
        <f t="shared" si="1231"/>
        <v>octubre</v>
      </c>
      <c r="D3439" t="s">
        <v>25</v>
      </c>
      <c r="F3439" t="s">
        <v>128</v>
      </c>
      <c r="G3439">
        <v>1</v>
      </c>
      <c r="H3439">
        <v>60</v>
      </c>
      <c r="I3439">
        <f t="shared" si="1230"/>
        <v>60</v>
      </c>
      <c r="J3439" t="s">
        <v>165</v>
      </c>
      <c r="K3439">
        <v>34</v>
      </c>
      <c r="M3439">
        <f t="shared" si="1232"/>
        <v>34</v>
      </c>
      <c r="N3439">
        <f t="shared" si="1233"/>
        <v>26</v>
      </c>
    </row>
    <row r="3440" spans="1:14" x14ac:dyDescent="0.25">
      <c r="A3440">
        <v>120</v>
      </c>
      <c r="B3440" s="1">
        <v>44114</v>
      </c>
      <c r="C3440" t="str">
        <f t="shared" si="1231"/>
        <v>octubre</v>
      </c>
      <c r="D3440" t="s">
        <v>15</v>
      </c>
      <c r="F3440" t="s">
        <v>29</v>
      </c>
      <c r="G3440">
        <v>23</v>
      </c>
      <c r="H3440">
        <v>240</v>
      </c>
      <c r="I3440">
        <f t="shared" si="1230"/>
        <v>5520</v>
      </c>
      <c r="J3440" t="s">
        <v>163</v>
      </c>
      <c r="K3440">
        <v>212</v>
      </c>
      <c r="M3440">
        <f t="shared" si="1232"/>
        <v>4876</v>
      </c>
      <c r="N3440">
        <f t="shared" si="1233"/>
        <v>644</v>
      </c>
    </row>
    <row r="3441" spans="1:14" x14ac:dyDescent="0.25">
      <c r="A3441">
        <v>121</v>
      </c>
      <c r="B3441" s="1">
        <v>44114</v>
      </c>
      <c r="C3441" t="str">
        <f t="shared" si="1231"/>
        <v>octubre</v>
      </c>
      <c r="D3441" t="s">
        <v>56</v>
      </c>
      <c r="F3441" t="s">
        <v>236</v>
      </c>
      <c r="G3441">
        <v>10</v>
      </c>
      <c r="H3441">
        <v>120</v>
      </c>
      <c r="I3441">
        <f t="shared" si="1230"/>
        <v>1200</v>
      </c>
      <c r="J3441" t="s">
        <v>165</v>
      </c>
      <c r="K3441">
        <v>83</v>
      </c>
      <c r="M3441">
        <f t="shared" si="1232"/>
        <v>830</v>
      </c>
      <c r="N3441">
        <f t="shared" si="1233"/>
        <v>370</v>
      </c>
    </row>
    <row r="3442" spans="1:14" x14ac:dyDescent="0.25">
      <c r="A3442">
        <v>122</v>
      </c>
      <c r="B3442" s="1">
        <v>44114</v>
      </c>
      <c r="C3442" t="str">
        <f t="shared" si="1231"/>
        <v>octubre</v>
      </c>
      <c r="D3442" t="s">
        <v>44</v>
      </c>
      <c r="F3442" t="s">
        <v>387</v>
      </c>
      <c r="G3442">
        <v>1</v>
      </c>
      <c r="H3442">
        <v>35</v>
      </c>
      <c r="I3442">
        <f t="shared" si="1230"/>
        <v>35</v>
      </c>
      <c r="J3442" t="s">
        <v>166</v>
      </c>
      <c r="K3442">
        <v>22</v>
      </c>
      <c r="M3442">
        <f t="shared" si="1232"/>
        <v>22</v>
      </c>
      <c r="N3442">
        <f t="shared" si="1233"/>
        <v>13</v>
      </c>
    </row>
    <row r="3443" spans="1:14" x14ac:dyDescent="0.25">
      <c r="A3443">
        <v>123</v>
      </c>
      <c r="B3443" s="1">
        <v>44114</v>
      </c>
      <c r="C3443" t="str">
        <f t="shared" si="1231"/>
        <v>octubre</v>
      </c>
      <c r="D3443" t="s">
        <v>15</v>
      </c>
      <c r="F3443" t="s">
        <v>29</v>
      </c>
      <c r="G3443">
        <v>19</v>
      </c>
      <c r="H3443">
        <v>240</v>
      </c>
      <c r="I3443">
        <f t="shared" si="1230"/>
        <v>4560</v>
      </c>
      <c r="J3443" t="s">
        <v>163</v>
      </c>
      <c r="K3443">
        <v>212</v>
      </c>
      <c r="M3443">
        <f t="shared" si="1232"/>
        <v>4028</v>
      </c>
      <c r="N3443">
        <f t="shared" si="1233"/>
        <v>532</v>
      </c>
    </row>
    <row r="3444" spans="1:14" x14ac:dyDescent="0.25">
      <c r="A3444">
        <v>124</v>
      </c>
      <c r="B3444" s="1">
        <v>44114</v>
      </c>
      <c r="C3444" t="str">
        <f t="shared" si="1231"/>
        <v>octubre</v>
      </c>
      <c r="D3444" t="s">
        <v>24</v>
      </c>
      <c r="F3444" t="s">
        <v>24</v>
      </c>
      <c r="G3444">
        <v>2</v>
      </c>
      <c r="H3444">
        <v>100</v>
      </c>
      <c r="I3444">
        <f t="shared" si="1230"/>
        <v>200</v>
      </c>
      <c r="J3444" t="s">
        <v>186</v>
      </c>
      <c r="K3444">
        <v>80</v>
      </c>
      <c r="M3444">
        <f t="shared" si="1232"/>
        <v>160</v>
      </c>
      <c r="N3444">
        <f t="shared" si="1233"/>
        <v>40</v>
      </c>
    </row>
    <row r="3445" spans="1:14" x14ac:dyDescent="0.25">
      <c r="A3445">
        <v>125</v>
      </c>
      <c r="B3445" s="1">
        <v>44114</v>
      </c>
      <c r="C3445" t="str">
        <f t="shared" si="1231"/>
        <v>octubre</v>
      </c>
      <c r="D3445" t="s">
        <v>44</v>
      </c>
      <c r="F3445" t="s">
        <v>382</v>
      </c>
      <c r="G3445">
        <v>1</v>
      </c>
      <c r="H3445">
        <v>35</v>
      </c>
      <c r="I3445">
        <f t="shared" si="1230"/>
        <v>35</v>
      </c>
      <c r="J3445" t="s">
        <v>166</v>
      </c>
      <c r="K3445">
        <v>22</v>
      </c>
      <c r="M3445">
        <f t="shared" si="1232"/>
        <v>22</v>
      </c>
      <c r="N3445">
        <f t="shared" si="1233"/>
        <v>13</v>
      </c>
    </row>
    <row r="3446" spans="1:14" x14ac:dyDescent="0.25">
      <c r="A3446">
        <v>126</v>
      </c>
      <c r="B3446" s="1">
        <v>44114</v>
      </c>
      <c r="C3446" t="str">
        <f t="shared" si="1231"/>
        <v>octubre</v>
      </c>
      <c r="D3446" t="s">
        <v>25</v>
      </c>
      <c r="F3446" t="s">
        <v>127</v>
      </c>
      <c r="G3446">
        <v>3</v>
      </c>
      <c r="H3446">
        <v>60</v>
      </c>
      <c r="I3446">
        <f t="shared" si="1230"/>
        <v>180</v>
      </c>
      <c r="J3446" t="s">
        <v>165</v>
      </c>
      <c r="K3446">
        <v>34</v>
      </c>
      <c r="M3446">
        <f t="shared" si="1232"/>
        <v>102</v>
      </c>
      <c r="N3446">
        <f t="shared" si="1233"/>
        <v>78</v>
      </c>
    </row>
    <row r="3447" spans="1:14" x14ac:dyDescent="0.25">
      <c r="A3447">
        <v>127</v>
      </c>
      <c r="B3447" s="1">
        <v>44114</v>
      </c>
      <c r="C3447" t="str">
        <f t="shared" si="1231"/>
        <v>octubre</v>
      </c>
      <c r="D3447" t="s">
        <v>15</v>
      </c>
      <c r="F3447" t="s">
        <v>29</v>
      </c>
      <c r="G3447">
        <v>7</v>
      </c>
      <c r="H3447">
        <v>240</v>
      </c>
      <c r="I3447">
        <f t="shared" si="1230"/>
        <v>1680</v>
      </c>
      <c r="J3447" t="s">
        <v>163</v>
      </c>
      <c r="K3447">
        <v>212</v>
      </c>
      <c r="M3447">
        <f t="shared" si="1232"/>
        <v>1484</v>
      </c>
      <c r="N3447">
        <f t="shared" si="1233"/>
        <v>196</v>
      </c>
    </row>
    <row r="3448" spans="1:14" x14ac:dyDescent="0.25">
      <c r="A3448">
        <v>128</v>
      </c>
      <c r="B3448" s="1">
        <v>44116</v>
      </c>
      <c r="C3448" t="str">
        <f t="shared" si="1231"/>
        <v>octubre</v>
      </c>
      <c r="D3448" t="s">
        <v>15</v>
      </c>
      <c r="F3448" t="s">
        <v>414</v>
      </c>
      <c r="G3448">
        <f>4/9</f>
        <v>0.44444444444444442</v>
      </c>
      <c r="H3448">
        <v>300</v>
      </c>
      <c r="I3448">
        <f t="shared" si="1230"/>
        <v>133.33333333333331</v>
      </c>
      <c r="J3448" t="s">
        <v>167</v>
      </c>
      <c r="K3448">
        <v>268</v>
      </c>
      <c r="M3448">
        <f t="shared" si="1232"/>
        <v>119.1111111111111</v>
      </c>
      <c r="N3448">
        <f t="shared" si="1233"/>
        <v>14.222222222222214</v>
      </c>
    </row>
    <row r="3449" spans="1:14" x14ac:dyDescent="0.25">
      <c r="A3449">
        <v>129</v>
      </c>
      <c r="B3449" s="1">
        <v>44116</v>
      </c>
      <c r="C3449" t="str">
        <f t="shared" si="1231"/>
        <v>octubre</v>
      </c>
      <c r="D3449" t="s">
        <v>15</v>
      </c>
      <c r="F3449" t="s">
        <v>481</v>
      </c>
      <c r="G3449">
        <v>1.5</v>
      </c>
      <c r="H3449">
        <v>250</v>
      </c>
      <c r="I3449">
        <f t="shared" si="1230"/>
        <v>375</v>
      </c>
      <c r="J3449" t="s">
        <v>163</v>
      </c>
      <c r="K3449">
        <v>220</v>
      </c>
      <c r="M3449">
        <f t="shared" si="1232"/>
        <v>330</v>
      </c>
      <c r="N3449">
        <f t="shared" si="1233"/>
        <v>45</v>
      </c>
    </row>
    <row r="3450" spans="1:14" x14ac:dyDescent="0.25">
      <c r="A3450">
        <v>130</v>
      </c>
      <c r="B3450" s="1">
        <v>44116</v>
      </c>
      <c r="C3450" t="str">
        <f t="shared" si="1231"/>
        <v>octubre</v>
      </c>
      <c r="D3450" t="s">
        <v>26</v>
      </c>
      <c r="F3450" t="s">
        <v>144</v>
      </c>
      <c r="G3450">
        <v>1.44</v>
      </c>
      <c r="H3450">
        <v>425</v>
      </c>
      <c r="I3450">
        <f t="shared" si="1230"/>
        <v>612</v>
      </c>
      <c r="J3450" t="s">
        <v>167</v>
      </c>
      <c r="K3450">
        <v>350</v>
      </c>
      <c r="M3450">
        <f t="shared" si="1232"/>
        <v>504</v>
      </c>
      <c r="N3450">
        <f t="shared" si="1233"/>
        <v>108</v>
      </c>
    </row>
    <row r="3451" spans="1:14" x14ac:dyDescent="0.25">
      <c r="A3451">
        <v>131</v>
      </c>
      <c r="B3451" s="1">
        <v>44116</v>
      </c>
      <c r="C3451" t="str">
        <f t="shared" si="1231"/>
        <v>octubre</v>
      </c>
      <c r="D3451" t="s">
        <v>25</v>
      </c>
      <c r="F3451" t="s">
        <v>148</v>
      </c>
      <c r="G3451">
        <v>2</v>
      </c>
      <c r="H3451">
        <v>60</v>
      </c>
      <c r="I3451">
        <f t="shared" si="1230"/>
        <v>120</v>
      </c>
      <c r="J3451" t="s">
        <v>165</v>
      </c>
      <c r="K3451">
        <v>34</v>
      </c>
      <c r="M3451">
        <f t="shared" si="1232"/>
        <v>68</v>
      </c>
      <c r="N3451">
        <f t="shared" si="1233"/>
        <v>52</v>
      </c>
    </row>
    <row r="3452" spans="1:14" x14ac:dyDescent="0.25">
      <c r="A3452">
        <v>132</v>
      </c>
      <c r="B3452" s="1">
        <v>44116</v>
      </c>
      <c r="C3452" t="str">
        <f t="shared" si="1231"/>
        <v>octubre</v>
      </c>
      <c r="D3452" t="s">
        <v>15</v>
      </c>
      <c r="F3452" t="s">
        <v>153</v>
      </c>
      <c r="G3452">
        <f>3/9</f>
        <v>0.33333333333333331</v>
      </c>
      <c r="H3452">
        <v>290</v>
      </c>
      <c r="I3452">
        <f t="shared" si="1230"/>
        <v>96.666666666666657</v>
      </c>
      <c r="J3452" t="s">
        <v>163</v>
      </c>
      <c r="K3452">
        <v>248</v>
      </c>
      <c r="M3452">
        <f t="shared" si="1232"/>
        <v>82.666666666666657</v>
      </c>
      <c r="N3452">
        <f t="shared" si="1233"/>
        <v>14</v>
      </c>
    </row>
    <row r="3453" spans="1:14" x14ac:dyDescent="0.25">
      <c r="A3453">
        <v>133</v>
      </c>
      <c r="B3453" s="1">
        <v>44116</v>
      </c>
      <c r="C3453" t="str">
        <f t="shared" si="1231"/>
        <v>octubre</v>
      </c>
      <c r="D3453" t="s">
        <v>15</v>
      </c>
      <c r="F3453" t="s">
        <v>29</v>
      </c>
      <c r="G3453">
        <v>70</v>
      </c>
      <c r="H3453">
        <v>240</v>
      </c>
      <c r="I3453">
        <f t="shared" si="1230"/>
        <v>16800</v>
      </c>
      <c r="J3453" t="s">
        <v>163</v>
      </c>
      <c r="K3453">
        <v>212</v>
      </c>
      <c r="M3453">
        <f t="shared" si="1232"/>
        <v>14840</v>
      </c>
      <c r="N3453">
        <f t="shared" si="1233"/>
        <v>1960</v>
      </c>
    </row>
    <row r="3454" spans="1:14" x14ac:dyDescent="0.25">
      <c r="A3454">
        <v>134</v>
      </c>
      <c r="B3454" s="1">
        <v>44116</v>
      </c>
      <c r="C3454" t="str">
        <f t="shared" si="1231"/>
        <v>octubre</v>
      </c>
      <c r="D3454" t="s">
        <v>15</v>
      </c>
      <c r="F3454" t="s">
        <v>32</v>
      </c>
      <c r="G3454">
        <v>6</v>
      </c>
      <c r="H3454">
        <v>280</v>
      </c>
      <c r="I3454">
        <f t="shared" si="1230"/>
        <v>1680</v>
      </c>
      <c r="J3454" t="s">
        <v>163</v>
      </c>
      <c r="K3454">
        <v>243</v>
      </c>
      <c r="M3454">
        <f t="shared" si="1232"/>
        <v>1458</v>
      </c>
      <c r="N3454">
        <f t="shared" si="1233"/>
        <v>222</v>
      </c>
    </row>
    <row r="3455" spans="1:14" x14ac:dyDescent="0.25">
      <c r="A3455">
        <v>135</v>
      </c>
      <c r="B3455" s="1">
        <v>44116</v>
      </c>
      <c r="C3455" t="str">
        <f t="shared" si="1231"/>
        <v>octubre</v>
      </c>
      <c r="D3455" t="s">
        <v>55</v>
      </c>
      <c r="F3455" t="s">
        <v>423</v>
      </c>
      <c r="G3455">
        <v>12</v>
      </c>
      <c r="H3455">
        <v>270</v>
      </c>
      <c r="I3455">
        <f t="shared" si="1230"/>
        <v>3240</v>
      </c>
      <c r="J3455" t="s">
        <v>167</v>
      </c>
      <c r="K3455">
        <v>207</v>
      </c>
      <c r="M3455">
        <f t="shared" si="1232"/>
        <v>2484</v>
      </c>
      <c r="N3455">
        <f t="shared" si="1233"/>
        <v>756</v>
      </c>
    </row>
    <row r="3456" spans="1:14" x14ac:dyDescent="0.25">
      <c r="A3456">
        <v>136</v>
      </c>
      <c r="B3456" s="1">
        <v>44116</v>
      </c>
      <c r="C3456" t="str">
        <f t="shared" si="1231"/>
        <v>octubre</v>
      </c>
      <c r="D3456" t="s">
        <v>55</v>
      </c>
      <c r="F3456" t="s">
        <v>408</v>
      </c>
      <c r="G3456">
        <v>2</v>
      </c>
      <c r="H3456">
        <v>300</v>
      </c>
      <c r="I3456">
        <f t="shared" si="1230"/>
        <v>600</v>
      </c>
      <c r="J3456" t="s">
        <v>167</v>
      </c>
      <c r="K3456">
        <v>268</v>
      </c>
      <c r="M3456">
        <f t="shared" si="1232"/>
        <v>536</v>
      </c>
      <c r="N3456">
        <f t="shared" si="1233"/>
        <v>64</v>
      </c>
    </row>
    <row r="3457" spans="1:14" x14ac:dyDescent="0.25">
      <c r="A3457">
        <v>137</v>
      </c>
      <c r="B3457" s="1">
        <v>44116</v>
      </c>
      <c r="C3457" t="str">
        <f t="shared" si="1231"/>
        <v>octubre</v>
      </c>
      <c r="D3457" t="s">
        <v>25</v>
      </c>
      <c r="F3457" t="s">
        <v>127</v>
      </c>
      <c r="G3457">
        <v>1</v>
      </c>
      <c r="H3457">
        <v>60</v>
      </c>
      <c r="I3457">
        <f t="shared" si="1230"/>
        <v>60</v>
      </c>
      <c r="J3457" t="s">
        <v>165</v>
      </c>
      <c r="K3457">
        <v>34</v>
      </c>
      <c r="M3457">
        <f t="shared" si="1232"/>
        <v>34</v>
      </c>
      <c r="N3457">
        <f t="shared" si="1233"/>
        <v>26</v>
      </c>
    </row>
    <row r="3458" spans="1:14" x14ac:dyDescent="0.25">
      <c r="A3458">
        <v>138</v>
      </c>
      <c r="B3458" s="1">
        <v>44116</v>
      </c>
      <c r="C3458" t="str">
        <f t="shared" si="1231"/>
        <v>octubre</v>
      </c>
      <c r="D3458" t="s">
        <v>25</v>
      </c>
      <c r="F3458" t="s">
        <v>127</v>
      </c>
      <c r="G3458">
        <v>1</v>
      </c>
      <c r="H3458">
        <v>60</v>
      </c>
      <c r="I3458">
        <f t="shared" si="1230"/>
        <v>60</v>
      </c>
      <c r="J3458" t="s">
        <v>165</v>
      </c>
      <c r="K3458">
        <v>34</v>
      </c>
      <c r="M3458">
        <f t="shared" si="1232"/>
        <v>34</v>
      </c>
      <c r="N3458">
        <f t="shared" si="1233"/>
        <v>26</v>
      </c>
    </row>
    <row r="3459" spans="1:14" x14ac:dyDescent="0.25">
      <c r="A3459">
        <v>139</v>
      </c>
      <c r="B3459" s="1">
        <v>44116</v>
      </c>
      <c r="C3459" t="str">
        <f t="shared" si="1231"/>
        <v>octubre</v>
      </c>
      <c r="D3459" t="s">
        <v>56</v>
      </c>
      <c r="F3459" t="s">
        <v>267</v>
      </c>
      <c r="G3459">
        <v>1</v>
      </c>
      <c r="H3459">
        <v>170</v>
      </c>
      <c r="I3459">
        <f t="shared" si="1230"/>
        <v>170</v>
      </c>
      <c r="J3459" t="s">
        <v>163</v>
      </c>
      <c r="K3459">
        <v>125</v>
      </c>
      <c r="M3459">
        <f t="shared" si="1232"/>
        <v>125</v>
      </c>
      <c r="N3459">
        <f t="shared" si="1233"/>
        <v>45</v>
      </c>
    </row>
    <row r="3460" spans="1:14" x14ac:dyDescent="0.25">
      <c r="A3460">
        <v>140</v>
      </c>
      <c r="B3460" s="1">
        <v>44116</v>
      </c>
      <c r="C3460" t="str">
        <f t="shared" si="1231"/>
        <v>octubre</v>
      </c>
      <c r="D3460" t="s">
        <v>55</v>
      </c>
      <c r="F3460" t="s">
        <v>22</v>
      </c>
      <c r="G3460">
        <v>6</v>
      </c>
      <c r="H3460">
        <v>300</v>
      </c>
      <c r="I3460">
        <f t="shared" si="1230"/>
        <v>1800</v>
      </c>
      <c r="J3460" t="s">
        <v>167</v>
      </c>
      <c r="K3460">
        <v>268</v>
      </c>
      <c r="M3460">
        <f t="shared" si="1232"/>
        <v>1608</v>
      </c>
      <c r="N3460">
        <f t="shared" si="1233"/>
        <v>192</v>
      </c>
    </row>
    <row r="3461" spans="1:14" x14ac:dyDescent="0.25">
      <c r="A3461">
        <v>141</v>
      </c>
      <c r="B3461" s="1">
        <v>44116</v>
      </c>
      <c r="C3461" t="str">
        <f t="shared" si="1231"/>
        <v>octubre</v>
      </c>
      <c r="D3461" t="s">
        <v>25</v>
      </c>
      <c r="F3461" t="s">
        <v>72</v>
      </c>
      <c r="G3461">
        <v>1</v>
      </c>
      <c r="H3461">
        <v>60</v>
      </c>
      <c r="I3461">
        <f t="shared" si="1230"/>
        <v>60</v>
      </c>
      <c r="J3461" t="s">
        <v>165</v>
      </c>
      <c r="K3461">
        <v>34</v>
      </c>
      <c r="M3461">
        <f t="shared" si="1232"/>
        <v>34</v>
      </c>
      <c r="N3461">
        <f t="shared" si="1233"/>
        <v>26</v>
      </c>
    </row>
    <row r="3462" spans="1:14" x14ac:dyDescent="0.25">
      <c r="A3462">
        <v>142</v>
      </c>
      <c r="B3462" s="1">
        <v>44116</v>
      </c>
      <c r="C3462" t="str">
        <f t="shared" si="1231"/>
        <v>octubre</v>
      </c>
      <c r="D3462" t="s">
        <v>23</v>
      </c>
      <c r="F3462" t="s">
        <v>456</v>
      </c>
      <c r="G3462">
        <v>2</v>
      </c>
      <c r="H3462">
        <v>250</v>
      </c>
      <c r="I3462">
        <f t="shared" si="1230"/>
        <v>500</v>
      </c>
      <c r="J3462" t="s">
        <v>163</v>
      </c>
      <c r="M3462" t="str">
        <f t="shared" si="1232"/>
        <v/>
      </c>
      <c r="N3462" t="str">
        <f t="shared" si="1233"/>
        <v/>
      </c>
    </row>
    <row r="3463" spans="1:14" x14ac:dyDescent="0.25">
      <c r="A3463">
        <v>143</v>
      </c>
      <c r="B3463" s="1">
        <v>44116</v>
      </c>
      <c r="C3463" t="str">
        <f t="shared" si="1231"/>
        <v>octubre</v>
      </c>
      <c r="D3463" t="s">
        <v>15</v>
      </c>
      <c r="F3463" t="s">
        <v>54</v>
      </c>
      <c r="G3463">
        <v>15</v>
      </c>
      <c r="H3463">
        <v>275</v>
      </c>
      <c r="I3463">
        <f t="shared" si="1230"/>
        <v>4125</v>
      </c>
      <c r="J3463" t="s">
        <v>163</v>
      </c>
      <c r="K3463">
        <v>242</v>
      </c>
      <c r="M3463">
        <f t="shared" si="1232"/>
        <v>3630</v>
      </c>
      <c r="N3463">
        <f t="shared" si="1233"/>
        <v>495</v>
      </c>
    </row>
    <row r="3464" spans="1:14" x14ac:dyDescent="0.25">
      <c r="A3464">
        <v>144</v>
      </c>
      <c r="B3464" s="1">
        <v>44116</v>
      </c>
      <c r="C3464" t="str">
        <f t="shared" si="1231"/>
        <v>octubre</v>
      </c>
      <c r="D3464" t="s">
        <v>25</v>
      </c>
      <c r="F3464" t="s">
        <v>127</v>
      </c>
      <c r="G3464">
        <v>2</v>
      </c>
      <c r="H3464">
        <v>60</v>
      </c>
      <c r="I3464">
        <f t="shared" si="1230"/>
        <v>120</v>
      </c>
      <c r="J3464" t="s">
        <v>165</v>
      </c>
      <c r="K3464">
        <v>34</v>
      </c>
      <c r="M3464">
        <f t="shared" si="1232"/>
        <v>68</v>
      </c>
      <c r="N3464">
        <f t="shared" si="1233"/>
        <v>52</v>
      </c>
    </row>
    <row r="3465" spans="1:14" x14ac:dyDescent="0.25">
      <c r="A3465">
        <v>145</v>
      </c>
      <c r="B3465" s="1">
        <v>44116</v>
      </c>
      <c r="C3465" t="str">
        <f t="shared" si="1231"/>
        <v>octubre</v>
      </c>
      <c r="D3465" t="s">
        <v>15</v>
      </c>
      <c r="F3465" t="s">
        <v>20</v>
      </c>
      <c r="G3465">
        <v>9</v>
      </c>
      <c r="H3465">
        <v>270</v>
      </c>
      <c r="I3465">
        <f t="shared" si="1230"/>
        <v>2430</v>
      </c>
      <c r="J3465" t="s">
        <v>163</v>
      </c>
      <c r="K3465">
        <v>232</v>
      </c>
      <c r="M3465">
        <f t="shared" si="1232"/>
        <v>2088</v>
      </c>
      <c r="N3465">
        <f t="shared" si="1233"/>
        <v>342</v>
      </c>
    </row>
    <row r="3466" spans="1:14" x14ac:dyDescent="0.25">
      <c r="A3466">
        <v>146</v>
      </c>
      <c r="B3466" s="1">
        <v>44116</v>
      </c>
      <c r="C3466" t="str">
        <f t="shared" si="1231"/>
        <v>octubre</v>
      </c>
      <c r="D3466" t="s">
        <v>25</v>
      </c>
      <c r="F3466" t="s">
        <v>147</v>
      </c>
      <c r="G3466">
        <v>2</v>
      </c>
      <c r="H3466">
        <v>60</v>
      </c>
      <c r="I3466">
        <f t="shared" ref="I3466:I3529" si="1234">+G3466*H3466</f>
        <v>120</v>
      </c>
      <c r="J3466" t="s">
        <v>165</v>
      </c>
      <c r="K3466">
        <v>34</v>
      </c>
      <c r="M3466">
        <f t="shared" si="1232"/>
        <v>68</v>
      </c>
      <c r="N3466">
        <f t="shared" si="1233"/>
        <v>52</v>
      </c>
    </row>
    <row r="3467" spans="1:14" x14ac:dyDescent="0.25">
      <c r="A3467">
        <v>147</v>
      </c>
      <c r="B3467" s="1">
        <v>44117</v>
      </c>
      <c r="C3467" t="str">
        <f t="shared" si="1231"/>
        <v>octubre</v>
      </c>
      <c r="D3467" t="s">
        <v>15</v>
      </c>
      <c r="F3467" t="s">
        <v>29</v>
      </c>
      <c r="G3467">
        <v>11</v>
      </c>
      <c r="H3467">
        <v>240</v>
      </c>
      <c r="I3467">
        <f t="shared" si="1234"/>
        <v>2640</v>
      </c>
      <c r="J3467" t="s">
        <v>163</v>
      </c>
      <c r="K3467">
        <v>212</v>
      </c>
      <c r="M3467">
        <f t="shared" si="1232"/>
        <v>2332</v>
      </c>
      <c r="N3467">
        <f t="shared" si="1233"/>
        <v>308</v>
      </c>
    </row>
    <row r="3468" spans="1:14" x14ac:dyDescent="0.25">
      <c r="A3468">
        <v>148</v>
      </c>
      <c r="B3468" s="1">
        <v>44117</v>
      </c>
      <c r="C3468" t="str">
        <f t="shared" si="1231"/>
        <v>octubre</v>
      </c>
      <c r="D3468" t="s">
        <v>15</v>
      </c>
      <c r="F3468" t="s">
        <v>29</v>
      </c>
      <c r="G3468">
        <f>6/9</f>
        <v>0.66666666666666663</v>
      </c>
      <c r="H3468">
        <v>240</v>
      </c>
      <c r="I3468">
        <f t="shared" si="1234"/>
        <v>160</v>
      </c>
      <c r="J3468" t="s">
        <v>163</v>
      </c>
      <c r="K3468">
        <v>212</v>
      </c>
      <c r="M3468">
        <f t="shared" si="1232"/>
        <v>141.33333333333331</v>
      </c>
      <c r="N3468">
        <f t="shared" si="1233"/>
        <v>18.666666666666686</v>
      </c>
    </row>
    <row r="3469" spans="1:14" x14ac:dyDescent="0.25">
      <c r="A3469">
        <v>149</v>
      </c>
      <c r="B3469" s="1">
        <v>44117</v>
      </c>
      <c r="C3469" t="str">
        <f t="shared" si="1231"/>
        <v>octubre</v>
      </c>
      <c r="D3469" t="s">
        <v>70</v>
      </c>
      <c r="F3469" t="s">
        <v>227</v>
      </c>
      <c r="G3469">
        <v>1</v>
      </c>
      <c r="H3469">
        <v>1650</v>
      </c>
      <c r="I3469">
        <f t="shared" si="1234"/>
        <v>1650</v>
      </c>
      <c r="J3469" t="s">
        <v>167</v>
      </c>
      <c r="K3469">
        <v>1440</v>
      </c>
      <c r="M3469">
        <f t="shared" si="1232"/>
        <v>1440</v>
      </c>
      <c r="N3469">
        <f t="shared" si="1233"/>
        <v>210</v>
      </c>
    </row>
    <row r="3470" spans="1:14" x14ac:dyDescent="0.25">
      <c r="A3470">
        <v>150</v>
      </c>
      <c r="B3470" s="1">
        <v>44117</v>
      </c>
      <c r="C3470" t="str">
        <f t="shared" si="1231"/>
        <v>octubre</v>
      </c>
      <c r="D3470" t="s">
        <v>70</v>
      </c>
      <c r="F3470" t="s">
        <v>511</v>
      </c>
      <c r="G3470">
        <v>1</v>
      </c>
      <c r="H3470">
        <v>60</v>
      </c>
      <c r="I3470">
        <f t="shared" si="1234"/>
        <v>60</v>
      </c>
      <c r="K3470">
        <v>40</v>
      </c>
      <c r="M3470">
        <f t="shared" si="1232"/>
        <v>40</v>
      </c>
      <c r="N3470">
        <f t="shared" si="1233"/>
        <v>20</v>
      </c>
    </row>
    <row r="3471" spans="1:14" x14ac:dyDescent="0.25">
      <c r="A3471">
        <v>151</v>
      </c>
      <c r="B3471" s="1">
        <v>44117</v>
      </c>
      <c r="C3471" t="str">
        <f t="shared" si="1231"/>
        <v>octubre</v>
      </c>
      <c r="D3471" t="s">
        <v>26</v>
      </c>
      <c r="F3471" t="s">
        <v>144</v>
      </c>
      <c r="G3471">
        <v>8</v>
      </c>
      <c r="H3471">
        <v>425</v>
      </c>
      <c r="I3471">
        <f t="shared" si="1234"/>
        <v>3400</v>
      </c>
      <c r="J3471" t="s">
        <v>167</v>
      </c>
      <c r="K3471">
        <v>350</v>
      </c>
      <c r="M3471">
        <f t="shared" si="1232"/>
        <v>2800</v>
      </c>
      <c r="N3471">
        <f t="shared" si="1233"/>
        <v>600</v>
      </c>
    </row>
    <row r="3472" spans="1:14" x14ac:dyDescent="0.25">
      <c r="A3472">
        <v>152</v>
      </c>
      <c r="B3472" s="1">
        <v>44117</v>
      </c>
      <c r="C3472" t="str">
        <f t="shared" si="1231"/>
        <v>octubre</v>
      </c>
      <c r="D3472" t="s">
        <v>15</v>
      </c>
      <c r="F3472" t="s">
        <v>29</v>
      </c>
      <c r="G3472">
        <v>9</v>
      </c>
      <c r="H3472">
        <v>240</v>
      </c>
      <c r="I3472">
        <f t="shared" si="1234"/>
        <v>2160</v>
      </c>
      <c r="J3472" t="s">
        <v>163</v>
      </c>
      <c r="K3472">
        <v>212</v>
      </c>
      <c r="M3472">
        <f t="shared" si="1232"/>
        <v>1908</v>
      </c>
      <c r="N3472">
        <f t="shared" si="1233"/>
        <v>252</v>
      </c>
    </row>
    <row r="3473" spans="1:14" x14ac:dyDescent="0.25">
      <c r="A3473">
        <v>153</v>
      </c>
      <c r="B3473" s="1">
        <v>44117</v>
      </c>
      <c r="C3473" t="str">
        <f t="shared" si="1231"/>
        <v>octubre</v>
      </c>
      <c r="D3473" t="s">
        <v>56</v>
      </c>
      <c r="F3473" t="s">
        <v>267</v>
      </c>
      <c r="G3473">
        <v>2</v>
      </c>
      <c r="H3473">
        <v>170</v>
      </c>
      <c r="I3473">
        <f t="shared" si="1234"/>
        <v>340</v>
      </c>
      <c r="J3473" t="s">
        <v>163</v>
      </c>
      <c r="K3473">
        <v>125</v>
      </c>
      <c r="M3473">
        <f t="shared" si="1232"/>
        <v>250</v>
      </c>
      <c r="N3473">
        <f t="shared" si="1233"/>
        <v>90</v>
      </c>
    </row>
    <row r="3474" spans="1:14" x14ac:dyDescent="0.25">
      <c r="A3474">
        <v>154</v>
      </c>
      <c r="B3474" s="1">
        <v>44117</v>
      </c>
      <c r="C3474" t="str">
        <f t="shared" si="1231"/>
        <v>octubre</v>
      </c>
      <c r="D3474" t="s">
        <v>25</v>
      </c>
      <c r="F3474" t="s">
        <v>127</v>
      </c>
      <c r="G3474">
        <v>1</v>
      </c>
      <c r="H3474">
        <v>60</v>
      </c>
      <c r="I3474">
        <f t="shared" si="1234"/>
        <v>60</v>
      </c>
      <c r="J3474" t="s">
        <v>165</v>
      </c>
      <c r="K3474">
        <v>34</v>
      </c>
      <c r="M3474">
        <f t="shared" si="1232"/>
        <v>34</v>
      </c>
      <c r="N3474">
        <f t="shared" si="1233"/>
        <v>26</v>
      </c>
    </row>
    <row r="3475" spans="1:14" x14ac:dyDescent="0.25">
      <c r="A3475">
        <v>155</v>
      </c>
      <c r="B3475" s="1">
        <v>44117</v>
      </c>
      <c r="C3475" t="str">
        <f t="shared" si="1231"/>
        <v>octubre</v>
      </c>
      <c r="D3475" t="s">
        <v>15</v>
      </c>
      <c r="F3475" t="s">
        <v>490</v>
      </c>
      <c r="G3475">
        <v>1.5</v>
      </c>
      <c r="H3475">
        <v>240</v>
      </c>
      <c r="I3475">
        <f t="shared" si="1234"/>
        <v>360</v>
      </c>
      <c r="J3475" t="s">
        <v>167</v>
      </c>
      <c r="K3475">
        <v>207</v>
      </c>
      <c r="M3475">
        <f t="shared" si="1232"/>
        <v>310.5</v>
      </c>
      <c r="N3475">
        <f t="shared" si="1233"/>
        <v>49.5</v>
      </c>
    </row>
    <row r="3476" spans="1:14" x14ac:dyDescent="0.25">
      <c r="A3476">
        <v>156</v>
      </c>
      <c r="B3476" s="1">
        <v>44117</v>
      </c>
      <c r="C3476" t="str">
        <f t="shared" si="1231"/>
        <v>octubre</v>
      </c>
      <c r="D3476" t="s">
        <v>75</v>
      </c>
      <c r="F3476" t="s">
        <v>512</v>
      </c>
      <c r="G3476">
        <v>32</v>
      </c>
      <c r="H3476">
        <v>45</v>
      </c>
      <c r="I3476">
        <f t="shared" si="1234"/>
        <v>1440</v>
      </c>
      <c r="M3476" t="str">
        <f t="shared" si="1232"/>
        <v/>
      </c>
      <c r="N3476" t="str">
        <f t="shared" si="1233"/>
        <v/>
      </c>
    </row>
    <row r="3477" spans="1:14" x14ac:dyDescent="0.25">
      <c r="A3477">
        <v>157</v>
      </c>
      <c r="B3477" s="1">
        <v>44117</v>
      </c>
      <c r="C3477" t="str">
        <f t="shared" si="1231"/>
        <v>octubre</v>
      </c>
      <c r="D3477" t="s">
        <v>70</v>
      </c>
      <c r="F3477" t="s">
        <v>227</v>
      </c>
      <c r="G3477">
        <v>1</v>
      </c>
      <c r="H3477">
        <v>1650</v>
      </c>
      <c r="I3477">
        <f t="shared" si="1234"/>
        <v>1650</v>
      </c>
      <c r="J3477" t="s">
        <v>167</v>
      </c>
      <c r="K3477">
        <v>1440</v>
      </c>
      <c r="M3477">
        <f t="shared" si="1232"/>
        <v>1440</v>
      </c>
      <c r="N3477">
        <f t="shared" si="1233"/>
        <v>210</v>
      </c>
    </row>
    <row r="3478" spans="1:14" x14ac:dyDescent="0.25">
      <c r="A3478">
        <v>158</v>
      </c>
      <c r="B3478" s="1">
        <v>44117</v>
      </c>
      <c r="C3478" t="str">
        <f t="shared" si="1231"/>
        <v>octubre</v>
      </c>
      <c r="D3478" t="s">
        <v>92</v>
      </c>
      <c r="F3478" t="s">
        <v>98</v>
      </c>
      <c r="G3478">
        <v>1</v>
      </c>
      <c r="H3478">
        <v>150</v>
      </c>
      <c r="I3478">
        <f t="shared" si="1234"/>
        <v>150</v>
      </c>
      <c r="J3478" t="s">
        <v>166</v>
      </c>
      <c r="K3478">
        <v>100</v>
      </c>
      <c r="M3478">
        <f t="shared" si="1232"/>
        <v>100</v>
      </c>
      <c r="N3478">
        <f t="shared" si="1233"/>
        <v>50</v>
      </c>
    </row>
    <row r="3479" spans="1:14" x14ac:dyDescent="0.25">
      <c r="A3479">
        <v>159</v>
      </c>
      <c r="B3479" s="1">
        <v>44117</v>
      </c>
      <c r="C3479" t="str">
        <f t="shared" si="1231"/>
        <v>octubre</v>
      </c>
      <c r="D3479" t="s">
        <v>55</v>
      </c>
      <c r="F3479" t="s">
        <v>39</v>
      </c>
      <c r="G3479">
        <f>25/17</f>
        <v>1.4705882352941178</v>
      </c>
      <c r="H3479">
        <v>300</v>
      </c>
      <c r="I3479">
        <f t="shared" si="1234"/>
        <v>441.1764705882353</v>
      </c>
      <c r="J3479" t="s">
        <v>167</v>
      </c>
      <c r="K3479">
        <v>268</v>
      </c>
      <c r="M3479">
        <f t="shared" si="1232"/>
        <v>394.11764705882354</v>
      </c>
      <c r="N3479">
        <f t="shared" si="1233"/>
        <v>47.058823529411768</v>
      </c>
    </row>
    <row r="3480" spans="1:14" x14ac:dyDescent="0.25">
      <c r="A3480">
        <v>160</v>
      </c>
      <c r="B3480" s="1">
        <v>44117</v>
      </c>
      <c r="C3480" t="str">
        <f t="shared" si="1231"/>
        <v>octubre</v>
      </c>
      <c r="D3480" t="s">
        <v>55</v>
      </c>
      <c r="F3480" t="s">
        <v>39</v>
      </c>
      <c r="G3480">
        <f>5/17</f>
        <v>0.29411764705882354</v>
      </c>
      <c r="H3480">
        <v>300</v>
      </c>
      <c r="I3480">
        <f t="shared" si="1234"/>
        <v>88.235294117647058</v>
      </c>
      <c r="J3480" t="s">
        <v>167</v>
      </c>
      <c r="K3480">
        <v>268</v>
      </c>
      <c r="M3480">
        <f t="shared" si="1232"/>
        <v>78.82352941176471</v>
      </c>
      <c r="N3480">
        <f t="shared" si="1233"/>
        <v>9.4117647058823479</v>
      </c>
    </row>
    <row r="3481" spans="1:14" x14ac:dyDescent="0.25">
      <c r="A3481">
        <v>161</v>
      </c>
      <c r="B3481" s="1">
        <v>44117</v>
      </c>
      <c r="C3481" t="str">
        <f t="shared" si="1231"/>
        <v>octubre</v>
      </c>
      <c r="D3481" t="s">
        <v>25</v>
      </c>
      <c r="F3481" t="s">
        <v>482</v>
      </c>
      <c r="G3481">
        <v>1</v>
      </c>
      <c r="H3481">
        <v>100</v>
      </c>
      <c r="I3481">
        <f t="shared" si="1234"/>
        <v>100</v>
      </c>
      <c r="J3481" t="s">
        <v>163</v>
      </c>
      <c r="K3481">
        <v>80</v>
      </c>
      <c r="M3481">
        <f t="shared" si="1232"/>
        <v>80</v>
      </c>
      <c r="N3481">
        <f t="shared" si="1233"/>
        <v>20</v>
      </c>
    </row>
    <row r="3482" spans="1:14" x14ac:dyDescent="0.25">
      <c r="A3482">
        <v>162</v>
      </c>
      <c r="B3482" s="1">
        <v>44117</v>
      </c>
      <c r="C3482" t="str">
        <f t="shared" si="1231"/>
        <v>octubre</v>
      </c>
      <c r="D3482" t="s">
        <v>15</v>
      </c>
      <c r="F3482" t="s">
        <v>110</v>
      </c>
      <c r="G3482">
        <v>4</v>
      </c>
      <c r="H3482">
        <v>300</v>
      </c>
      <c r="I3482">
        <f t="shared" si="1234"/>
        <v>1200</v>
      </c>
      <c r="J3482" t="s">
        <v>167</v>
      </c>
      <c r="K3482">
        <v>268</v>
      </c>
      <c r="M3482">
        <f t="shared" si="1232"/>
        <v>1072</v>
      </c>
      <c r="N3482">
        <f t="shared" si="1233"/>
        <v>128</v>
      </c>
    </row>
    <row r="3483" spans="1:14" x14ac:dyDescent="0.25">
      <c r="A3483">
        <v>163</v>
      </c>
      <c r="B3483" s="1">
        <v>44117</v>
      </c>
      <c r="C3483" t="str">
        <f t="shared" si="1231"/>
        <v>octubre</v>
      </c>
      <c r="D3483" t="s">
        <v>56</v>
      </c>
      <c r="F3483" t="s">
        <v>267</v>
      </c>
      <c r="G3483">
        <v>1</v>
      </c>
      <c r="H3483">
        <v>170</v>
      </c>
      <c r="I3483">
        <f t="shared" si="1234"/>
        <v>170</v>
      </c>
      <c r="J3483" t="s">
        <v>163</v>
      </c>
      <c r="K3483">
        <v>125</v>
      </c>
      <c r="M3483">
        <f t="shared" si="1232"/>
        <v>125</v>
      </c>
      <c r="N3483">
        <f t="shared" si="1233"/>
        <v>45</v>
      </c>
    </row>
    <row r="3484" spans="1:14" x14ac:dyDescent="0.25">
      <c r="A3484">
        <v>164</v>
      </c>
      <c r="B3484" s="1">
        <v>44117</v>
      </c>
      <c r="C3484" t="str">
        <f t="shared" si="1231"/>
        <v>octubre</v>
      </c>
      <c r="D3484" t="s">
        <v>15</v>
      </c>
      <c r="F3484" t="s">
        <v>513</v>
      </c>
      <c r="G3484">
        <v>3.5</v>
      </c>
      <c r="H3484">
        <v>315</v>
      </c>
      <c r="I3484">
        <f t="shared" si="1234"/>
        <v>1102.5</v>
      </c>
      <c r="J3484" t="s">
        <v>163</v>
      </c>
      <c r="K3484">
        <v>295</v>
      </c>
      <c r="M3484">
        <f t="shared" si="1232"/>
        <v>1032.5</v>
      </c>
      <c r="N3484">
        <f t="shared" si="1233"/>
        <v>70</v>
      </c>
    </row>
    <row r="3485" spans="1:14" x14ac:dyDescent="0.25">
      <c r="A3485">
        <v>165</v>
      </c>
      <c r="B3485" s="1">
        <v>44117</v>
      </c>
      <c r="C3485" t="str">
        <f t="shared" si="1231"/>
        <v>octubre</v>
      </c>
      <c r="D3485" t="s">
        <v>15</v>
      </c>
      <c r="F3485" t="s">
        <v>21</v>
      </c>
      <c r="G3485">
        <v>2</v>
      </c>
      <c r="H3485">
        <v>300</v>
      </c>
      <c r="I3485">
        <f t="shared" si="1234"/>
        <v>600</v>
      </c>
      <c r="J3485" t="s">
        <v>167</v>
      </c>
      <c r="K3485">
        <v>268</v>
      </c>
      <c r="M3485">
        <f t="shared" si="1232"/>
        <v>536</v>
      </c>
      <c r="N3485">
        <f t="shared" si="1233"/>
        <v>64</v>
      </c>
    </row>
    <row r="3486" spans="1:14" x14ac:dyDescent="0.25">
      <c r="A3486">
        <v>166</v>
      </c>
      <c r="B3486" s="1">
        <v>44117</v>
      </c>
      <c r="C3486" t="str">
        <f t="shared" ref="C3486:C3549" si="1235">+TEXT(B3486,"mmmm")</f>
        <v>octubre</v>
      </c>
      <c r="D3486" t="s">
        <v>56</v>
      </c>
      <c r="F3486" t="s">
        <v>267</v>
      </c>
      <c r="G3486">
        <v>1</v>
      </c>
      <c r="H3486">
        <v>170</v>
      </c>
      <c r="I3486">
        <f t="shared" si="1234"/>
        <v>170</v>
      </c>
      <c r="J3486" t="s">
        <v>163</v>
      </c>
      <c r="K3486">
        <v>125</v>
      </c>
      <c r="M3486">
        <f t="shared" si="1232"/>
        <v>125</v>
      </c>
      <c r="N3486">
        <f t="shared" si="1233"/>
        <v>45</v>
      </c>
    </row>
    <row r="3487" spans="1:14" x14ac:dyDescent="0.25">
      <c r="A3487">
        <v>167</v>
      </c>
      <c r="B3487" s="1">
        <v>44117</v>
      </c>
      <c r="C3487" t="str">
        <f t="shared" si="1235"/>
        <v>octubre</v>
      </c>
      <c r="D3487" t="s">
        <v>15</v>
      </c>
      <c r="F3487" t="s">
        <v>425</v>
      </c>
      <c r="G3487">
        <f>5/10</f>
        <v>0.5</v>
      </c>
      <c r="H3487">
        <v>240</v>
      </c>
      <c r="I3487">
        <f t="shared" si="1234"/>
        <v>120</v>
      </c>
      <c r="J3487" t="s">
        <v>167</v>
      </c>
      <c r="K3487">
        <v>207</v>
      </c>
      <c r="M3487">
        <f t="shared" si="1232"/>
        <v>103.5</v>
      </c>
      <c r="N3487">
        <f t="shared" si="1233"/>
        <v>16.5</v>
      </c>
    </row>
    <row r="3488" spans="1:14" x14ac:dyDescent="0.25">
      <c r="A3488">
        <v>168</v>
      </c>
      <c r="B3488" s="1">
        <v>44117</v>
      </c>
      <c r="C3488" t="str">
        <f t="shared" si="1235"/>
        <v>octubre</v>
      </c>
      <c r="D3488" t="s">
        <v>25</v>
      </c>
      <c r="F3488" t="s">
        <v>156</v>
      </c>
      <c r="G3488">
        <v>1</v>
      </c>
      <c r="H3488">
        <v>60</v>
      </c>
      <c r="I3488">
        <f t="shared" si="1234"/>
        <v>60</v>
      </c>
      <c r="J3488" t="s">
        <v>165</v>
      </c>
      <c r="K3488">
        <v>34</v>
      </c>
      <c r="M3488">
        <f t="shared" si="1232"/>
        <v>34</v>
      </c>
      <c r="N3488">
        <f t="shared" si="1233"/>
        <v>26</v>
      </c>
    </row>
    <row r="3489" spans="1:14" x14ac:dyDescent="0.25">
      <c r="A3489">
        <v>169</v>
      </c>
      <c r="B3489" s="1">
        <v>44118</v>
      </c>
      <c r="C3489" t="str">
        <f t="shared" si="1235"/>
        <v>octubre</v>
      </c>
      <c r="D3489" t="s">
        <v>56</v>
      </c>
      <c r="F3489" t="s">
        <v>267</v>
      </c>
      <c r="G3489">
        <v>1</v>
      </c>
      <c r="H3489">
        <v>170</v>
      </c>
      <c r="I3489">
        <f t="shared" si="1234"/>
        <v>170</v>
      </c>
      <c r="J3489" t="s">
        <v>163</v>
      </c>
      <c r="K3489">
        <v>125</v>
      </c>
      <c r="M3489">
        <f t="shared" si="1232"/>
        <v>125</v>
      </c>
      <c r="N3489">
        <f t="shared" si="1233"/>
        <v>45</v>
      </c>
    </row>
    <row r="3490" spans="1:14" x14ac:dyDescent="0.25">
      <c r="A3490">
        <v>170</v>
      </c>
      <c r="B3490" s="1">
        <v>44118</v>
      </c>
      <c r="C3490" t="str">
        <f t="shared" si="1235"/>
        <v>octubre</v>
      </c>
      <c r="D3490" t="s">
        <v>15</v>
      </c>
      <c r="F3490" t="s">
        <v>29</v>
      </c>
      <c r="G3490">
        <v>1.53</v>
      </c>
      <c r="H3490">
        <v>240</v>
      </c>
      <c r="I3490">
        <f t="shared" si="1234"/>
        <v>367.2</v>
      </c>
      <c r="J3490" t="s">
        <v>163</v>
      </c>
      <c r="K3490">
        <v>212</v>
      </c>
      <c r="M3490">
        <f t="shared" si="1232"/>
        <v>324.36</v>
      </c>
      <c r="N3490">
        <f t="shared" si="1233"/>
        <v>42.839999999999975</v>
      </c>
    </row>
    <row r="3491" spans="1:14" x14ac:dyDescent="0.25">
      <c r="A3491">
        <v>171</v>
      </c>
      <c r="B3491" s="1">
        <v>44118</v>
      </c>
      <c r="C3491" t="str">
        <f t="shared" si="1235"/>
        <v>octubre</v>
      </c>
      <c r="D3491" t="s">
        <v>23</v>
      </c>
      <c r="F3491" t="s">
        <v>215</v>
      </c>
      <c r="G3491">
        <v>1</v>
      </c>
      <c r="H3491">
        <v>35</v>
      </c>
      <c r="I3491">
        <f t="shared" si="1234"/>
        <v>35</v>
      </c>
      <c r="J3491" t="s">
        <v>187</v>
      </c>
      <c r="K3491">
        <v>25</v>
      </c>
      <c r="M3491">
        <f t="shared" si="1232"/>
        <v>25</v>
      </c>
      <c r="N3491">
        <f t="shared" si="1233"/>
        <v>10</v>
      </c>
    </row>
    <row r="3492" spans="1:14" x14ac:dyDescent="0.25">
      <c r="A3492">
        <v>172</v>
      </c>
      <c r="B3492" s="1">
        <v>44118</v>
      </c>
      <c r="C3492" t="str">
        <f t="shared" si="1235"/>
        <v>octubre</v>
      </c>
      <c r="D3492" t="s">
        <v>25</v>
      </c>
      <c r="F3492" t="s">
        <v>128</v>
      </c>
      <c r="G3492">
        <v>1</v>
      </c>
      <c r="H3492">
        <v>60</v>
      </c>
      <c r="I3492">
        <f t="shared" si="1234"/>
        <v>60</v>
      </c>
      <c r="J3492" t="s">
        <v>165</v>
      </c>
      <c r="K3492">
        <v>34</v>
      </c>
      <c r="M3492">
        <f t="shared" si="1232"/>
        <v>34</v>
      </c>
      <c r="N3492">
        <f t="shared" si="1233"/>
        <v>26</v>
      </c>
    </row>
    <row r="3493" spans="1:14" x14ac:dyDescent="0.25">
      <c r="A3493">
        <v>173</v>
      </c>
      <c r="B3493" s="1">
        <v>44118</v>
      </c>
      <c r="C3493" t="str">
        <f t="shared" si="1235"/>
        <v>octubre</v>
      </c>
      <c r="D3493" t="s">
        <v>15</v>
      </c>
      <c r="F3493" t="s">
        <v>29</v>
      </c>
      <c r="G3493">
        <v>8.5</v>
      </c>
      <c r="H3493">
        <v>240</v>
      </c>
      <c r="I3493">
        <f t="shared" si="1234"/>
        <v>2040</v>
      </c>
      <c r="J3493" t="s">
        <v>163</v>
      </c>
      <c r="K3493">
        <v>212</v>
      </c>
      <c r="M3493">
        <f t="shared" si="1232"/>
        <v>1802</v>
      </c>
      <c r="N3493">
        <f t="shared" si="1233"/>
        <v>238</v>
      </c>
    </row>
    <row r="3494" spans="1:14" x14ac:dyDescent="0.25">
      <c r="A3494">
        <v>174</v>
      </c>
      <c r="B3494" s="1">
        <v>44118</v>
      </c>
      <c r="C3494" t="str">
        <f t="shared" si="1235"/>
        <v>octubre</v>
      </c>
      <c r="D3494" t="s">
        <v>55</v>
      </c>
      <c r="F3494" t="s">
        <v>514</v>
      </c>
      <c r="G3494">
        <v>1.25</v>
      </c>
      <c r="H3494">
        <v>320</v>
      </c>
      <c r="I3494">
        <f t="shared" si="1234"/>
        <v>400</v>
      </c>
      <c r="J3494" t="s">
        <v>163</v>
      </c>
      <c r="K3494">
        <v>283</v>
      </c>
      <c r="M3494">
        <f t="shared" si="1232"/>
        <v>353.75</v>
      </c>
      <c r="N3494">
        <f t="shared" si="1233"/>
        <v>46.25</v>
      </c>
    </row>
    <row r="3495" spans="1:14" x14ac:dyDescent="0.25">
      <c r="A3495">
        <v>175</v>
      </c>
      <c r="B3495" s="1">
        <v>44118</v>
      </c>
      <c r="C3495" t="str">
        <f t="shared" si="1235"/>
        <v>octubre</v>
      </c>
      <c r="D3495" t="s">
        <v>55</v>
      </c>
      <c r="F3495" t="s">
        <v>89</v>
      </c>
      <c r="G3495">
        <f>4/17</f>
        <v>0.23529411764705882</v>
      </c>
      <c r="H3495">
        <v>300</v>
      </c>
      <c r="I3495">
        <f t="shared" si="1234"/>
        <v>70.588235294117652</v>
      </c>
      <c r="J3495" t="s">
        <v>167</v>
      </c>
      <c r="K3495">
        <v>268</v>
      </c>
      <c r="M3495">
        <f t="shared" si="1232"/>
        <v>63.058823529411761</v>
      </c>
      <c r="N3495">
        <f t="shared" si="1233"/>
        <v>7.5294117647058911</v>
      </c>
    </row>
    <row r="3496" spans="1:14" x14ac:dyDescent="0.25">
      <c r="A3496">
        <v>176</v>
      </c>
      <c r="B3496" s="1">
        <v>44118</v>
      </c>
      <c r="C3496" t="str">
        <f t="shared" si="1235"/>
        <v>octubre</v>
      </c>
      <c r="D3496" t="s">
        <v>24</v>
      </c>
      <c r="F3496" t="s">
        <v>24</v>
      </c>
      <c r="G3496">
        <v>0.5</v>
      </c>
      <c r="H3496">
        <v>100</v>
      </c>
      <c r="I3496">
        <f t="shared" si="1234"/>
        <v>50</v>
      </c>
      <c r="J3496" t="s">
        <v>186</v>
      </c>
      <c r="K3496">
        <v>80</v>
      </c>
      <c r="M3496">
        <f t="shared" si="1232"/>
        <v>40</v>
      </c>
      <c r="N3496">
        <f t="shared" si="1233"/>
        <v>10</v>
      </c>
    </row>
    <row r="3497" spans="1:14" x14ac:dyDescent="0.25">
      <c r="A3497">
        <v>177</v>
      </c>
      <c r="B3497" s="1">
        <v>44118</v>
      </c>
      <c r="C3497" t="str">
        <f t="shared" si="1235"/>
        <v>octubre</v>
      </c>
      <c r="D3497" t="s">
        <v>15</v>
      </c>
      <c r="F3497" t="s">
        <v>29</v>
      </c>
      <c r="G3497">
        <v>44</v>
      </c>
      <c r="H3497">
        <v>240</v>
      </c>
      <c r="I3497">
        <f t="shared" si="1234"/>
        <v>10560</v>
      </c>
      <c r="J3497" t="s">
        <v>163</v>
      </c>
      <c r="K3497">
        <v>212</v>
      </c>
      <c r="M3497">
        <f t="shared" si="1232"/>
        <v>9328</v>
      </c>
      <c r="N3497">
        <f t="shared" si="1233"/>
        <v>1232</v>
      </c>
    </row>
    <row r="3498" spans="1:14" x14ac:dyDescent="0.25">
      <c r="A3498">
        <v>178</v>
      </c>
      <c r="B3498" s="1">
        <v>44119</v>
      </c>
      <c r="C3498" t="str">
        <f t="shared" si="1235"/>
        <v>octubre</v>
      </c>
      <c r="D3498" t="s">
        <v>70</v>
      </c>
      <c r="F3498" t="s">
        <v>420</v>
      </c>
      <c r="G3498">
        <v>1</v>
      </c>
      <c r="H3498">
        <v>3100</v>
      </c>
      <c r="I3498">
        <f t="shared" si="1234"/>
        <v>3100</v>
      </c>
      <c r="J3498" t="s">
        <v>167</v>
      </c>
      <c r="K3498">
        <v>2800</v>
      </c>
      <c r="M3498">
        <f t="shared" si="1232"/>
        <v>2800</v>
      </c>
      <c r="N3498">
        <f t="shared" si="1233"/>
        <v>300</v>
      </c>
    </row>
    <row r="3499" spans="1:14" x14ac:dyDescent="0.25">
      <c r="A3499">
        <v>179</v>
      </c>
      <c r="B3499" s="1">
        <v>44119</v>
      </c>
      <c r="C3499" t="str">
        <f t="shared" si="1235"/>
        <v>octubre</v>
      </c>
      <c r="D3499" t="s">
        <v>15</v>
      </c>
      <c r="F3499" t="s">
        <v>17</v>
      </c>
      <c r="G3499">
        <v>4</v>
      </c>
      <c r="H3499">
        <v>355</v>
      </c>
      <c r="I3499">
        <f t="shared" si="1234"/>
        <v>1420</v>
      </c>
      <c r="J3499" t="s">
        <v>167</v>
      </c>
      <c r="K3499">
        <v>307</v>
      </c>
      <c r="M3499">
        <f t="shared" ref="M3499:M3562" si="1236">+IF(K3499=0,(""),(K3499*G3499))</f>
        <v>1228</v>
      </c>
      <c r="N3499">
        <f t="shared" ref="N3499:N3562" si="1237">+IF(K3499=0,(""),(I3499-M3499))</f>
        <v>192</v>
      </c>
    </row>
    <row r="3500" spans="1:14" x14ac:dyDescent="0.25">
      <c r="A3500">
        <v>180</v>
      </c>
      <c r="B3500" s="1">
        <v>44119</v>
      </c>
      <c r="C3500" t="str">
        <f t="shared" si="1235"/>
        <v>octubre</v>
      </c>
      <c r="D3500" t="s">
        <v>56</v>
      </c>
      <c r="F3500" t="s">
        <v>267</v>
      </c>
      <c r="G3500">
        <v>2</v>
      </c>
      <c r="H3500">
        <v>170</v>
      </c>
      <c r="I3500">
        <f t="shared" si="1234"/>
        <v>340</v>
      </c>
      <c r="J3500" t="s">
        <v>163</v>
      </c>
      <c r="K3500">
        <v>125</v>
      </c>
      <c r="M3500">
        <f t="shared" si="1236"/>
        <v>250</v>
      </c>
      <c r="N3500">
        <f t="shared" si="1237"/>
        <v>90</v>
      </c>
    </row>
    <row r="3501" spans="1:14" x14ac:dyDescent="0.25">
      <c r="A3501">
        <v>181</v>
      </c>
      <c r="B3501" s="1">
        <v>44119</v>
      </c>
      <c r="C3501" t="str">
        <f t="shared" si="1235"/>
        <v>octubre</v>
      </c>
      <c r="D3501" t="s">
        <v>25</v>
      </c>
      <c r="F3501" t="s">
        <v>58</v>
      </c>
      <c r="G3501">
        <v>1</v>
      </c>
      <c r="H3501">
        <v>60</v>
      </c>
      <c r="I3501">
        <f t="shared" si="1234"/>
        <v>60</v>
      </c>
      <c r="J3501" t="s">
        <v>165</v>
      </c>
      <c r="K3501">
        <v>34</v>
      </c>
      <c r="M3501">
        <f t="shared" si="1236"/>
        <v>34</v>
      </c>
      <c r="N3501">
        <f t="shared" si="1237"/>
        <v>26</v>
      </c>
    </row>
    <row r="3502" spans="1:14" x14ac:dyDescent="0.25">
      <c r="A3502">
        <v>182</v>
      </c>
      <c r="B3502" s="1">
        <v>44119</v>
      </c>
      <c r="C3502" t="str">
        <f t="shared" si="1235"/>
        <v>octubre</v>
      </c>
      <c r="D3502" t="s">
        <v>44</v>
      </c>
      <c r="F3502" t="s">
        <v>412</v>
      </c>
      <c r="G3502">
        <v>1</v>
      </c>
      <c r="H3502">
        <v>35</v>
      </c>
      <c r="I3502">
        <f t="shared" si="1234"/>
        <v>35</v>
      </c>
      <c r="J3502" t="s">
        <v>166</v>
      </c>
      <c r="K3502">
        <v>20</v>
      </c>
      <c r="M3502">
        <f t="shared" si="1236"/>
        <v>20</v>
      </c>
      <c r="N3502">
        <f t="shared" si="1237"/>
        <v>15</v>
      </c>
    </row>
    <row r="3503" spans="1:14" x14ac:dyDescent="0.25">
      <c r="A3503">
        <v>183</v>
      </c>
      <c r="B3503" s="1">
        <v>44119</v>
      </c>
      <c r="C3503" t="str">
        <f t="shared" si="1235"/>
        <v>octubre</v>
      </c>
      <c r="D3503" t="s">
        <v>15</v>
      </c>
      <c r="F3503" t="s">
        <v>515</v>
      </c>
      <c r="G3503">
        <f>1/4.9</f>
        <v>0.2040816326530612</v>
      </c>
      <c r="H3503">
        <v>360</v>
      </c>
      <c r="I3503">
        <f t="shared" si="1234"/>
        <v>73.469387755102034</v>
      </c>
      <c r="J3503" t="s">
        <v>167</v>
      </c>
      <c r="K3503">
        <v>307</v>
      </c>
      <c r="M3503">
        <f t="shared" si="1236"/>
        <v>62.65306122448979</v>
      </c>
      <c r="N3503">
        <f t="shared" si="1237"/>
        <v>10.816326530612244</v>
      </c>
    </row>
    <row r="3504" spans="1:14" x14ac:dyDescent="0.25">
      <c r="A3504">
        <v>184</v>
      </c>
      <c r="B3504" s="1">
        <v>44119</v>
      </c>
      <c r="C3504" t="str">
        <f t="shared" si="1235"/>
        <v>octubre</v>
      </c>
      <c r="D3504" t="s">
        <v>25</v>
      </c>
      <c r="F3504" t="s">
        <v>130</v>
      </c>
      <c r="G3504">
        <v>3</v>
      </c>
      <c r="H3504">
        <v>60</v>
      </c>
      <c r="I3504">
        <f t="shared" si="1234"/>
        <v>180</v>
      </c>
      <c r="J3504" t="s">
        <v>165</v>
      </c>
      <c r="K3504">
        <v>34</v>
      </c>
      <c r="M3504">
        <f t="shared" si="1236"/>
        <v>102</v>
      </c>
      <c r="N3504">
        <f t="shared" si="1237"/>
        <v>78</v>
      </c>
    </row>
    <row r="3505" spans="1:14" x14ac:dyDescent="0.25">
      <c r="A3505">
        <v>185</v>
      </c>
      <c r="B3505" s="1">
        <v>44119</v>
      </c>
      <c r="C3505" t="str">
        <f t="shared" si="1235"/>
        <v>octubre</v>
      </c>
      <c r="D3505" t="s">
        <v>15</v>
      </c>
      <c r="F3505" t="s">
        <v>29</v>
      </c>
      <c r="G3505">
        <v>1</v>
      </c>
      <c r="H3505">
        <v>240</v>
      </c>
      <c r="I3505">
        <f t="shared" si="1234"/>
        <v>240</v>
      </c>
      <c r="J3505" t="s">
        <v>163</v>
      </c>
      <c r="K3505">
        <v>212</v>
      </c>
      <c r="M3505">
        <f t="shared" si="1236"/>
        <v>212</v>
      </c>
      <c r="N3505">
        <f t="shared" si="1237"/>
        <v>28</v>
      </c>
    </row>
    <row r="3506" spans="1:14" x14ac:dyDescent="0.25">
      <c r="A3506">
        <v>186</v>
      </c>
      <c r="B3506" s="1">
        <v>44119</v>
      </c>
      <c r="C3506" t="str">
        <f t="shared" si="1235"/>
        <v>octubre</v>
      </c>
      <c r="D3506" t="s">
        <v>85</v>
      </c>
      <c r="F3506" t="s">
        <v>253</v>
      </c>
      <c r="G3506">
        <v>1</v>
      </c>
      <c r="H3506">
        <v>900</v>
      </c>
      <c r="I3506">
        <f t="shared" si="1234"/>
        <v>900</v>
      </c>
      <c r="J3506" t="s">
        <v>167</v>
      </c>
      <c r="K3506">
        <v>395</v>
      </c>
      <c r="M3506">
        <f t="shared" si="1236"/>
        <v>395</v>
      </c>
      <c r="N3506">
        <f t="shared" si="1237"/>
        <v>505</v>
      </c>
    </row>
    <row r="3507" spans="1:14" x14ac:dyDescent="0.25">
      <c r="A3507">
        <v>187</v>
      </c>
      <c r="B3507" s="1">
        <v>44119</v>
      </c>
      <c r="C3507" t="str">
        <f t="shared" si="1235"/>
        <v>octubre</v>
      </c>
      <c r="D3507" t="s">
        <v>15</v>
      </c>
      <c r="F3507" t="s">
        <v>28</v>
      </c>
      <c r="G3507">
        <v>2</v>
      </c>
      <c r="H3507">
        <v>240</v>
      </c>
      <c r="I3507">
        <f t="shared" si="1234"/>
        <v>480</v>
      </c>
      <c r="J3507" t="s">
        <v>163</v>
      </c>
      <c r="K3507">
        <v>217</v>
      </c>
      <c r="M3507">
        <f t="shared" si="1236"/>
        <v>434</v>
      </c>
      <c r="N3507">
        <f t="shared" si="1237"/>
        <v>46</v>
      </c>
    </row>
    <row r="3508" spans="1:14" x14ac:dyDescent="0.25">
      <c r="A3508">
        <v>188</v>
      </c>
      <c r="B3508" s="1">
        <v>44119</v>
      </c>
      <c r="C3508" t="str">
        <f t="shared" si="1235"/>
        <v>octubre</v>
      </c>
      <c r="D3508" t="s">
        <v>15</v>
      </c>
      <c r="F3508" t="s">
        <v>21</v>
      </c>
      <c r="G3508">
        <v>1.5</v>
      </c>
      <c r="H3508">
        <v>300</v>
      </c>
      <c r="I3508">
        <f t="shared" si="1234"/>
        <v>450</v>
      </c>
      <c r="J3508" t="s">
        <v>167</v>
      </c>
      <c r="K3508">
        <v>268</v>
      </c>
      <c r="M3508">
        <f t="shared" si="1236"/>
        <v>402</v>
      </c>
      <c r="N3508">
        <f t="shared" si="1237"/>
        <v>48</v>
      </c>
    </row>
    <row r="3509" spans="1:14" x14ac:dyDescent="0.25">
      <c r="A3509">
        <v>189</v>
      </c>
      <c r="B3509" s="1">
        <v>44119</v>
      </c>
      <c r="C3509" t="str">
        <f t="shared" si="1235"/>
        <v>octubre</v>
      </c>
      <c r="D3509" t="s">
        <v>44</v>
      </c>
      <c r="F3509" t="s">
        <v>387</v>
      </c>
      <c r="G3509">
        <v>1</v>
      </c>
      <c r="H3509">
        <v>35</v>
      </c>
      <c r="I3509">
        <f t="shared" si="1234"/>
        <v>35</v>
      </c>
      <c r="J3509" t="s">
        <v>166</v>
      </c>
      <c r="K3509">
        <v>22</v>
      </c>
      <c r="M3509">
        <f t="shared" si="1236"/>
        <v>22</v>
      </c>
      <c r="N3509">
        <f t="shared" si="1237"/>
        <v>13</v>
      </c>
    </row>
    <row r="3510" spans="1:14" x14ac:dyDescent="0.25">
      <c r="A3510">
        <v>190</v>
      </c>
      <c r="B3510" s="1">
        <v>44119</v>
      </c>
      <c r="C3510" t="str">
        <f t="shared" si="1235"/>
        <v>octubre</v>
      </c>
      <c r="D3510" t="s">
        <v>25</v>
      </c>
      <c r="F3510" t="s">
        <v>71</v>
      </c>
      <c r="G3510">
        <v>1</v>
      </c>
      <c r="H3510">
        <v>60</v>
      </c>
      <c r="I3510">
        <f t="shared" si="1234"/>
        <v>60</v>
      </c>
      <c r="J3510" t="s">
        <v>165</v>
      </c>
      <c r="K3510">
        <v>34</v>
      </c>
      <c r="M3510">
        <f t="shared" si="1236"/>
        <v>34</v>
      </c>
      <c r="N3510">
        <f t="shared" si="1237"/>
        <v>26</v>
      </c>
    </row>
    <row r="3511" spans="1:14" x14ac:dyDescent="0.25">
      <c r="A3511">
        <v>191</v>
      </c>
      <c r="B3511" s="1">
        <v>44120</v>
      </c>
      <c r="C3511" t="str">
        <f t="shared" si="1235"/>
        <v>octubre</v>
      </c>
      <c r="D3511" t="s">
        <v>55</v>
      </c>
      <c r="F3511" t="s">
        <v>22</v>
      </c>
      <c r="G3511">
        <v>2.82</v>
      </c>
      <c r="H3511">
        <v>295</v>
      </c>
      <c r="I3511">
        <f t="shared" si="1234"/>
        <v>831.9</v>
      </c>
      <c r="J3511" t="s">
        <v>167</v>
      </c>
      <c r="K3511">
        <v>268</v>
      </c>
      <c r="M3511">
        <f t="shared" si="1236"/>
        <v>755.76</v>
      </c>
      <c r="N3511">
        <f t="shared" si="1237"/>
        <v>76.139999999999986</v>
      </c>
    </row>
    <row r="3512" spans="1:14" x14ac:dyDescent="0.25">
      <c r="A3512">
        <v>192</v>
      </c>
      <c r="B3512" s="1">
        <v>44120</v>
      </c>
      <c r="C3512" t="str">
        <f t="shared" si="1235"/>
        <v>octubre</v>
      </c>
      <c r="D3512" t="s">
        <v>25</v>
      </c>
      <c r="F3512" t="s">
        <v>57</v>
      </c>
      <c r="G3512">
        <v>1</v>
      </c>
      <c r="H3512">
        <v>60</v>
      </c>
      <c r="I3512">
        <f t="shared" si="1234"/>
        <v>60</v>
      </c>
      <c r="J3512" t="s">
        <v>165</v>
      </c>
      <c r="K3512">
        <v>34</v>
      </c>
      <c r="M3512">
        <f t="shared" si="1236"/>
        <v>34</v>
      </c>
      <c r="N3512">
        <f t="shared" si="1237"/>
        <v>26</v>
      </c>
    </row>
    <row r="3513" spans="1:14" x14ac:dyDescent="0.25">
      <c r="A3513">
        <v>193</v>
      </c>
      <c r="B3513" s="1">
        <v>44120</v>
      </c>
      <c r="C3513" t="str">
        <f t="shared" si="1235"/>
        <v>octubre</v>
      </c>
      <c r="D3513" t="s">
        <v>55</v>
      </c>
      <c r="F3513" t="s">
        <v>418</v>
      </c>
      <c r="G3513">
        <f>4/12</f>
        <v>0.33333333333333331</v>
      </c>
      <c r="H3513">
        <v>300</v>
      </c>
      <c r="I3513">
        <f t="shared" si="1234"/>
        <v>100</v>
      </c>
      <c r="J3513" t="s">
        <v>167</v>
      </c>
      <c r="K3513">
        <v>268</v>
      </c>
      <c r="M3513">
        <f t="shared" si="1236"/>
        <v>89.333333333333329</v>
      </c>
      <c r="N3513">
        <f t="shared" si="1237"/>
        <v>10.666666666666671</v>
      </c>
    </row>
    <row r="3514" spans="1:14" x14ac:dyDescent="0.25">
      <c r="A3514">
        <v>194</v>
      </c>
      <c r="B3514" s="1">
        <v>44120</v>
      </c>
      <c r="C3514" t="str">
        <f t="shared" si="1235"/>
        <v>octubre</v>
      </c>
      <c r="D3514" t="s">
        <v>25</v>
      </c>
      <c r="F3514" t="s">
        <v>57</v>
      </c>
      <c r="G3514">
        <v>1</v>
      </c>
      <c r="H3514">
        <v>60</v>
      </c>
      <c r="I3514">
        <f t="shared" si="1234"/>
        <v>60</v>
      </c>
      <c r="J3514" t="s">
        <v>165</v>
      </c>
      <c r="K3514">
        <v>34</v>
      </c>
      <c r="M3514">
        <f t="shared" si="1236"/>
        <v>34</v>
      </c>
      <c r="N3514">
        <f t="shared" si="1237"/>
        <v>26</v>
      </c>
    </row>
    <row r="3515" spans="1:14" x14ac:dyDescent="0.25">
      <c r="A3515">
        <v>195</v>
      </c>
      <c r="B3515" s="1">
        <v>44120</v>
      </c>
      <c r="C3515" t="str">
        <f t="shared" si="1235"/>
        <v>octubre</v>
      </c>
      <c r="D3515" t="s">
        <v>15</v>
      </c>
      <c r="F3515" t="s">
        <v>481</v>
      </c>
      <c r="G3515">
        <v>3</v>
      </c>
      <c r="H3515">
        <v>250</v>
      </c>
      <c r="I3515">
        <f t="shared" si="1234"/>
        <v>750</v>
      </c>
      <c r="J3515" t="s">
        <v>163</v>
      </c>
      <c r="K3515">
        <v>220</v>
      </c>
      <c r="M3515">
        <f t="shared" si="1236"/>
        <v>660</v>
      </c>
      <c r="N3515">
        <f t="shared" si="1237"/>
        <v>90</v>
      </c>
    </row>
    <row r="3516" spans="1:14" x14ac:dyDescent="0.25">
      <c r="A3516">
        <v>196</v>
      </c>
      <c r="B3516" s="1">
        <v>44120</v>
      </c>
      <c r="C3516" t="str">
        <f t="shared" si="1235"/>
        <v>octubre</v>
      </c>
      <c r="D3516" t="s">
        <v>25</v>
      </c>
      <c r="F3516" t="s">
        <v>57</v>
      </c>
      <c r="G3516">
        <v>2</v>
      </c>
      <c r="H3516">
        <v>60</v>
      </c>
      <c r="I3516">
        <f t="shared" si="1234"/>
        <v>120</v>
      </c>
      <c r="J3516" t="s">
        <v>165</v>
      </c>
      <c r="K3516">
        <v>34</v>
      </c>
      <c r="M3516">
        <f t="shared" si="1236"/>
        <v>68</v>
      </c>
      <c r="N3516">
        <f t="shared" si="1237"/>
        <v>52</v>
      </c>
    </row>
    <row r="3517" spans="1:14" x14ac:dyDescent="0.25">
      <c r="A3517">
        <v>197</v>
      </c>
      <c r="B3517" s="1">
        <v>44120</v>
      </c>
      <c r="C3517" t="str">
        <f t="shared" si="1235"/>
        <v>octubre</v>
      </c>
      <c r="D3517" t="s">
        <v>56</v>
      </c>
      <c r="F3517" t="s">
        <v>267</v>
      </c>
      <c r="G3517">
        <v>2</v>
      </c>
      <c r="H3517">
        <v>170</v>
      </c>
      <c r="I3517">
        <f t="shared" si="1234"/>
        <v>340</v>
      </c>
      <c r="J3517" t="s">
        <v>163</v>
      </c>
      <c r="K3517">
        <v>125</v>
      </c>
      <c r="M3517">
        <f t="shared" si="1236"/>
        <v>250</v>
      </c>
      <c r="N3517">
        <f t="shared" si="1237"/>
        <v>90</v>
      </c>
    </row>
    <row r="3518" spans="1:14" x14ac:dyDescent="0.25">
      <c r="A3518">
        <v>198</v>
      </c>
      <c r="B3518" s="1">
        <v>44120</v>
      </c>
      <c r="C3518" t="str">
        <f t="shared" si="1235"/>
        <v>octubre</v>
      </c>
      <c r="D3518" t="s">
        <v>15</v>
      </c>
      <c r="F3518" t="s">
        <v>54</v>
      </c>
      <c r="G3518">
        <v>4</v>
      </c>
      <c r="H3518">
        <v>275</v>
      </c>
      <c r="I3518">
        <f t="shared" si="1234"/>
        <v>1100</v>
      </c>
      <c r="J3518" t="s">
        <v>163</v>
      </c>
      <c r="K3518">
        <v>242</v>
      </c>
      <c r="M3518">
        <f t="shared" si="1236"/>
        <v>968</v>
      </c>
      <c r="N3518">
        <f t="shared" si="1237"/>
        <v>132</v>
      </c>
    </row>
    <row r="3519" spans="1:14" x14ac:dyDescent="0.25">
      <c r="A3519">
        <v>199</v>
      </c>
      <c r="B3519" s="1">
        <v>44121</v>
      </c>
      <c r="C3519" t="str">
        <f t="shared" si="1235"/>
        <v>octubre</v>
      </c>
      <c r="D3519" t="s">
        <v>55</v>
      </c>
      <c r="F3519" t="s">
        <v>473</v>
      </c>
      <c r="G3519">
        <f>20/16</f>
        <v>1.25</v>
      </c>
      <c r="H3519">
        <v>270</v>
      </c>
      <c r="I3519">
        <f t="shared" si="1234"/>
        <v>337.5</v>
      </c>
      <c r="J3519" t="s">
        <v>167</v>
      </c>
      <c r="K3519">
        <v>207</v>
      </c>
      <c r="M3519">
        <f t="shared" si="1236"/>
        <v>258.75</v>
      </c>
      <c r="N3519">
        <f t="shared" si="1237"/>
        <v>78.75</v>
      </c>
    </row>
    <row r="3520" spans="1:14" x14ac:dyDescent="0.25">
      <c r="A3520">
        <v>200</v>
      </c>
      <c r="B3520" s="1">
        <v>44121</v>
      </c>
      <c r="C3520" t="str">
        <f t="shared" si="1235"/>
        <v>octubre</v>
      </c>
      <c r="D3520" t="s">
        <v>56</v>
      </c>
      <c r="F3520" t="s">
        <v>267</v>
      </c>
      <c r="G3520">
        <v>1</v>
      </c>
      <c r="H3520">
        <v>170</v>
      </c>
      <c r="I3520">
        <f t="shared" si="1234"/>
        <v>170</v>
      </c>
      <c r="J3520" t="s">
        <v>163</v>
      </c>
      <c r="K3520">
        <v>125</v>
      </c>
      <c r="M3520">
        <f t="shared" si="1236"/>
        <v>125</v>
      </c>
      <c r="N3520">
        <f t="shared" si="1237"/>
        <v>45</v>
      </c>
    </row>
    <row r="3521" spans="1:14" x14ac:dyDescent="0.25">
      <c r="A3521">
        <v>201</v>
      </c>
      <c r="B3521" s="1">
        <v>44121</v>
      </c>
      <c r="C3521" t="str">
        <f t="shared" si="1235"/>
        <v>octubre</v>
      </c>
      <c r="D3521" t="s">
        <v>25</v>
      </c>
      <c r="F3521" t="s">
        <v>156</v>
      </c>
      <c r="G3521">
        <v>2</v>
      </c>
      <c r="H3521">
        <v>60</v>
      </c>
      <c r="I3521">
        <f t="shared" si="1234"/>
        <v>120</v>
      </c>
      <c r="J3521" t="s">
        <v>165</v>
      </c>
      <c r="K3521">
        <v>34</v>
      </c>
      <c r="M3521">
        <f t="shared" si="1236"/>
        <v>68</v>
      </c>
      <c r="N3521">
        <f t="shared" si="1237"/>
        <v>52</v>
      </c>
    </row>
    <row r="3522" spans="1:14" x14ac:dyDescent="0.25">
      <c r="A3522">
        <v>202</v>
      </c>
      <c r="B3522" s="1">
        <v>44121</v>
      </c>
      <c r="C3522" t="str">
        <f t="shared" si="1235"/>
        <v>octubre</v>
      </c>
      <c r="D3522" t="s">
        <v>15</v>
      </c>
      <c r="F3522" t="s">
        <v>516</v>
      </c>
      <c r="G3522">
        <v>6</v>
      </c>
      <c r="H3522">
        <v>250</v>
      </c>
      <c r="I3522">
        <f t="shared" si="1234"/>
        <v>1500</v>
      </c>
      <c r="J3522" t="s">
        <v>167</v>
      </c>
      <c r="K3522">
        <v>210</v>
      </c>
      <c r="M3522">
        <f t="shared" si="1236"/>
        <v>1260</v>
      </c>
      <c r="N3522">
        <f t="shared" si="1237"/>
        <v>240</v>
      </c>
    </row>
    <row r="3523" spans="1:14" x14ac:dyDescent="0.25">
      <c r="A3523">
        <v>203</v>
      </c>
      <c r="B3523" s="1">
        <v>44121</v>
      </c>
      <c r="C3523" t="str">
        <f t="shared" si="1235"/>
        <v>octubre</v>
      </c>
      <c r="D3523" t="s">
        <v>56</v>
      </c>
      <c r="F3523" t="s">
        <v>267</v>
      </c>
      <c r="G3523">
        <v>2</v>
      </c>
      <c r="H3523">
        <v>170</v>
      </c>
      <c r="I3523">
        <f t="shared" si="1234"/>
        <v>340</v>
      </c>
      <c r="J3523" t="s">
        <v>163</v>
      </c>
      <c r="K3523">
        <v>125</v>
      </c>
      <c r="M3523">
        <f t="shared" si="1236"/>
        <v>250</v>
      </c>
      <c r="N3523">
        <f t="shared" si="1237"/>
        <v>90</v>
      </c>
    </row>
    <row r="3524" spans="1:14" x14ac:dyDescent="0.25">
      <c r="A3524">
        <v>204</v>
      </c>
      <c r="B3524" s="1">
        <v>44121</v>
      </c>
      <c r="C3524" t="str">
        <f t="shared" si="1235"/>
        <v>octubre</v>
      </c>
      <c r="D3524" t="s">
        <v>25</v>
      </c>
      <c r="F3524" t="s">
        <v>128</v>
      </c>
      <c r="G3524">
        <v>1</v>
      </c>
      <c r="H3524">
        <v>60</v>
      </c>
      <c r="I3524">
        <f t="shared" si="1234"/>
        <v>60</v>
      </c>
      <c r="J3524" t="s">
        <v>165</v>
      </c>
      <c r="K3524">
        <v>34</v>
      </c>
      <c r="M3524">
        <f t="shared" si="1236"/>
        <v>34</v>
      </c>
      <c r="N3524">
        <f t="shared" si="1237"/>
        <v>26</v>
      </c>
    </row>
    <row r="3525" spans="1:14" x14ac:dyDescent="0.25">
      <c r="A3525">
        <v>205</v>
      </c>
      <c r="B3525" s="1">
        <v>44121</v>
      </c>
      <c r="C3525" t="str">
        <f t="shared" si="1235"/>
        <v>octubre</v>
      </c>
      <c r="D3525" t="s">
        <v>55</v>
      </c>
      <c r="F3525" t="s">
        <v>149</v>
      </c>
      <c r="G3525">
        <f>5/12</f>
        <v>0.41666666666666669</v>
      </c>
      <c r="H3525">
        <v>300</v>
      </c>
      <c r="I3525">
        <f t="shared" si="1234"/>
        <v>125</v>
      </c>
      <c r="J3525" t="s">
        <v>167</v>
      </c>
      <c r="K3525">
        <v>268</v>
      </c>
      <c r="M3525">
        <f t="shared" si="1236"/>
        <v>111.66666666666667</v>
      </c>
      <c r="N3525">
        <f t="shared" si="1237"/>
        <v>13.333333333333329</v>
      </c>
    </row>
    <row r="3526" spans="1:14" x14ac:dyDescent="0.25">
      <c r="A3526">
        <v>206</v>
      </c>
      <c r="B3526" s="1">
        <v>44121</v>
      </c>
      <c r="C3526" t="str">
        <f t="shared" si="1235"/>
        <v>octubre</v>
      </c>
      <c r="D3526" t="s">
        <v>15</v>
      </c>
      <c r="F3526" t="s">
        <v>504</v>
      </c>
      <c r="G3526">
        <v>10</v>
      </c>
      <c r="H3526">
        <v>280</v>
      </c>
      <c r="I3526">
        <f t="shared" si="1234"/>
        <v>2800</v>
      </c>
      <c r="J3526" t="s">
        <v>163</v>
      </c>
      <c r="K3526">
        <v>248</v>
      </c>
      <c r="M3526">
        <f t="shared" si="1236"/>
        <v>2480</v>
      </c>
      <c r="N3526">
        <f t="shared" si="1237"/>
        <v>320</v>
      </c>
    </row>
    <row r="3527" spans="1:14" x14ac:dyDescent="0.25">
      <c r="A3527">
        <v>207</v>
      </c>
      <c r="B3527" s="1">
        <v>44121</v>
      </c>
      <c r="C3527" t="str">
        <f t="shared" si="1235"/>
        <v>octubre</v>
      </c>
      <c r="D3527" t="s">
        <v>55</v>
      </c>
      <c r="F3527" t="s">
        <v>22</v>
      </c>
      <c r="G3527">
        <v>2.82</v>
      </c>
      <c r="H3527">
        <v>300</v>
      </c>
      <c r="I3527">
        <f t="shared" si="1234"/>
        <v>846</v>
      </c>
      <c r="J3527" t="s">
        <v>167</v>
      </c>
      <c r="K3527">
        <v>268</v>
      </c>
      <c r="M3527">
        <f t="shared" si="1236"/>
        <v>755.76</v>
      </c>
      <c r="N3527">
        <f t="shared" si="1237"/>
        <v>90.240000000000009</v>
      </c>
    </row>
    <row r="3528" spans="1:14" x14ac:dyDescent="0.25">
      <c r="A3528">
        <v>208</v>
      </c>
      <c r="B3528" s="1">
        <v>44121</v>
      </c>
      <c r="C3528" t="str">
        <f t="shared" si="1235"/>
        <v>octubre</v>
      </c>
      <c r="D3528" t="s">
        <v>55</v>
      </c>
      <c r="F3528" t="s">
        <v>423</v>
      </c>
      <c r="G3528">
        <v>6</v>
      </c>
      <c r="H3528">
        <v>270</v>
      </c>
      <c r="I3528">
        <f t="shared" si="1234"/>
        <v>1620</v>
      </c>
      <c r="J3528" t="s">
        <v>167</v>
      </c>
      <c r="K3528">
        <v>207</v>
      </c>
      <c r="M3528">
        <f t="shared" si="1236"/>
        <v>1242</v>
      </c>
      <c r="N3528">
        <f t="shared" si="1237"/>
        <v>378</v>
      </c>
    </row>
    <row r="3529" spans="1:14" x14ac:dyDescent="0.25">
      <c r="A3529">
        <v>209</v>
      </c>
      <c r="B3529" s="1">
        <v>44121</v>
      </c>
      <c r="C3529" t="str">
        <f t="shared" si="1235"/>
        <v>octubre</v>
      </c>
      <c r="D3529" t="s">
        <v>55</v>
      </c>
      <c r="F3529" t="s">
        <v>473</v>
      </c>
      <c r="G3529">
        <v>4</v>
      </c>
      <c r="H3529">
        <v>270</v>
      </c>
      <c r="I3529">
        <f t="shared" si="1234"/>
        <v>1080</v>
      </c>
      <c r="J3529" t="s">
        <v>167</v>
      </c>
      <c r="K3529">
        <v>207</v>
      </c>
      <c r="M3529">
        <f t="shared" si="1236"/>
        <v>828</v>
      </c>
      <c r="N3529">
        <f t="shared" si="1237"/>
        <v>252</v>
      </c>
    </row>
    <row r="3530" spans="1:14" x14ac:dyDescent="0.25">
      <c r="A3530">
        <v>210</v>
      </c>
      <c r="B3530" s="1">
        <v>44121</v>
      </c>
      <c r="C3530" t="str">
        <f t="shared" si="1235"/>
        <v>octubre</v>
      </c>
      <c r="D3530" t="s">
        <v>55</v>
      </c>
      <c r="F3530" t="s">
        <v>473</v>
      </c>
      <c r="G3530">
        <v>1</v>
      </c>
      <c r="H3530">
        <v>270</v>
      </c>
      <c r="I3530">
        <f t="shared" ref="I3530:I3593" si="1238">+G3530*H3530</f>
        <v>270</v>
      </c>
      <c r="J3530" t="s">
        <v>167</v>
      </c>
      <c r="K3530">
        <v>207</v>
      </c>
      <c r="M3530">
        <f t="shared" si="1236"/>
        <v>207</v>
      </c>
      <c r="N3530">
        <f t="shared" si="1237"/>
        <v>63</v>
      </c>
    </row>
    <row r="3531" spans="1:14" x14ac:dyDescent="0.25">
      <c r="A3531">
        <v>211</v>
      </c>
      <c r="B3531" s="1">
        <v>44121</v>
      </c>
      <c r="C3531" t="str">
        <f t="shared" si="1235"/>
        <v>octubre</v>
      </c>
      <c r="D3531" t="s">
        <v>15</v>
      </c>
      <c r="F3531" t="s">
        <v>346</v>
      </c>
      <c r="G3531">
        <v>2</v>
      </c>
      <c r="H3531">
        <v>250</v>
      </c>
      <c r="I3531">
        <f t="shared" si="1238"/>
        <v>500</v>
      </c>
      <c r="J3531" t="s">
        <v>167</v>
      </c>
      <c r="K3531">
        <v>210</v>
      </c>
      <c r="M3531">
        <f t="shared" si="1236"/>
        <v>420</v>
      </c>
      <c r="N3531">
        <f t="shared" si="1237"/>
        <v>80</v>
      </c>
    </row>
    <row r="3532" spans="1:14" x14ac:dyDescent="0.25">
      <c r="A3532">
        <v>212</v>
      </c>
      <c r="B3532" s="1">
        <v>44121</v>
      </c>
      <c r="C3532" t="str">
        <f t="shared" si="1235"/>
        <v>octubre</v>
      </c>
      <c r="D3532" t="s">
        <v>15</v>
      </c>
      <c r="F3532" t="s">
        <v>517</v>
      </c>
      <c r="G3532">
        <v>2</v>
      </c>
      <c r="H3532">
        <v>250</v>
      </c>
      <c r="I3532">
        <f t="shared" si="1238"/>
        <v>500</v>
      </c>
      <c r="J3532" t="s">
        <v>167</v>
      </c>
      <c r="K3532">
        <v>219</v>
      </c>
      <c r="M3532">
        <f t="shared" si="1236"/>
        <v>438</v>
      </c>
      <c r="N3532">
        <f t="shared" si="1237"/>
        <v>62</v>
      </c>
    </row>
    <row r="3533" spans="1:14" x14ac:dyDescent="0.25">
      <c r="A3533">
        <v>213</v>
      </c>
      <c r="B3533" s="1">
        <v>44121</v>
      </c>
      <c r="C3533" t="str">
        <f t="shared" si="1235"/>
        <v>octubre</v>
      </c>
      <c r="D3533" t="s">
        <v>15</v>
      </c>
      <c r="F3533" t="s">
        <v>54</v>
      </c>
      <c r="G3533">
        <v>10</v>
      </c>
      <c r="H3533">
        <v>265</v>
      </c>
      <c r="I3533">
        <f t="shared" si="1238"/>
        <v>2650</v>
      </c>
      <c r="J3533" t="s">
        <v>163</v>
      </c>
      <c r="K3533">
        <v>242</v>
      </c>
      <c r="M3533">
        <f t="shared" si="1236"/>
        <v>2420</v>
      </c>
      <c r="N3533">
        <f t="shared" si="1237"/>
        <v>230</v>
      </c>
    </row>
    <row r="3534" spans="1:14" x14ac:dyDescent="0.25">
      <c r="A3534">
        <v>214</v>
      </c>
      <c r="B3534" s="1">
        <v>44121</v>
      </c>
      <c r="C3534" t="str">
        <f t="shared" si="1235"/>
        <v>octubre</v>
      </c>
      <c r="D3534" t="s">
        <v>44</v>
      </c>
      <c r="F3534" t="s">
        <v>138</v>
      </c>
      <c r="G3534">
        <v>1</v>
      </c>
      <c r="H3534">
        <v>35</v>
      </c>
      <c r="I3534">
        <f t="shared" si="1238"/>
        <v>35</v>
      </c>
      <c r="J3534" t="s">
        <v>166</v>
      </c>
      <c r="K3534">
        <v>26</v>
      </c>
      <c r="M3534">
        <f t="shared" si="1236"/>
        <v>26</v>
      </c>
      <c r="N3534">
        <f t="shared" si="1237"/>
        <v>9</v>
      </c>
    </row>
    <row r="3535" spans="1:14" x14ac:dyDescent="0.25">
      <c r="A3535">
        <v>215</v>
      </c>
      <c r="B3535" s="1">
        <v>44121</v>
      </c>
      <c r="C3535" t="str">
        <f t="shared" si="1235"/>
        <v>octubre</v>
      </c>
      <c r="D3535" t="s">
        <v>15</v>
      </c>
      <c r="F3535" t="s">
        <v>54</v>
      </c>
      <c r="G3535">
        <v>10</v>
      </c>
      <c r="H3535">
        <v>280</v>
      </c>
      <c r="I3535">
        <f t="shared" si="1238"/>
        <v>2800</v>
      </c>
      <c r="J3535" t="s">
        <v>163</v>
      </c>
      <c r="K3535">
        <v>242</v>
      </c>
      <c r="M3535">
        <f t="shared" si="1236"/>
        <v>2420</v>
      </c>
      <c r="N3535">
        <f t="shared" si="1237"/>
        <v>380</v>
      </c>
    </row>
    <row r="3536" spans="1:14" x14ac:dyDescent="0.25">
      <c r="A3536">
        <v>216</v>
      </c>
      <c r="B3536" s="1">
        <v>44121</v>
      </c>
      <c r="C3536" t="str">
        <f t="shared" si="1235"/>
        <v>octubre</v>
      </c>
      <c r="D3536" t="s">
        <v>56</v>
      </c>
      <c r="F3536" t="s">
        <v>267</v>
      </c>
      <c r="G3536">
        <v>3</v>
      </c>
      <c r="H3536">
        <v>170</v>
      </c>
      <c r="I3536">
        <f t="shared" si="1238"/>
        <v>510</v>
      </c>
      <c r="J3536" t="s">
        <v>163</v>
      </c>
      <c r="K3536">
        <v>125</v>
      </c>
      <c r="M3536">
        <f t="shared" si="1236"/>
        <v>375</v>
      </c>
      <c r="N3536">
        <f t="shared" si="1237"/>
        <v>135</v>
      </c>
    </row>
    <row r="3537" spans="1:14" x14ac:dyDescent="0.25">
      <c r="A3537">
        <v>217</v>
      </c>
      <c r="B3537" s="1">
        <v>44121</v>
      </c>
      <c r="C3537" t="str">
        <f t="shared" si="1235"/>
        <v>octubre</v>
      </c>
      <c r="D3537" t="s">
        <v>25</v>
      </c>
      <c r="F3537" t="s">
        <v>127</v>
      </c>
      <c r="G3537">
        <v>2</v>
      </c>
      <c r="H3537">
        <v>60</v>
      </c>
      <c r="I3537">
        <f t="shared" si="1238"/>
        <v>120</v>
      </c>
      <c r="J3537" t="s">
        <v>165</v>
      </c>
      <c r="K3537">
        <v>34</v>
      </c>
      <c r="M3537">
        <f t="shared" si="1236"/>
        <v>68</v>
      </c>
      <c r="N3537">
        <f t="shared" si="1237"/>
        <v>52</v>
      </c>
    </row>
    <row r="3538" spans="1:14" x14ac:dyDescent="0.25">
      <c r="A3538">
        <v>218</v>
      </c>
      <c r="B3538" s="1">
        <v>44121</v>
      </c>
      <c r="C3538" t="str">
        <f t="shared" si="1235"/>
        <v>octubre</v>
      </c>
      <c r="D3538" t="s">
        <v>44</v>
      </c>
      <c r="F3538" t="s">
        <v>412</v>
      </c>
      <c r="G3538">
        <v>1</v>
      </c>
      <c r="H3538">
        <v>35</v>
      </c>
      <c r="I3538">
        <f t="shared" si="1238"/>
        <v>35</v>
      </c>
      <c r="J3538" t="s">
        <v>166</v>
      </c>
      <c r="K3538">
        <v>20</v>
      </c>
      <c r="M3538">
        <f t="shared" si="1236"/>
        <v>20</v>
      </c>
      <c r="N3538">
        <f t="shared" si="1237"/>
        <v>15</v>
      </c>
    </row>
    <row r="3539" spans="1:14" x14ac:dyDescent="0.25">
      <c r="A3539">
        <v>219</v>
      </c>
      <c r="B3539" s="1">
        <v>44123</v>
      </c>
      <c r="C3539" t="str">
        <f t="shared" si="1235"/>
        <v>octubre</v>
      </c>
      <c r="D3539" t="s">
        <v>25</v>
      </c>
      <c r="F3539" t="s">
        <v>130</v>
      </c>
      <c r="G3539">
        <v>2</v>
      </c>
      <c r="H3539">
        <v>60</v>
      </c>
      <c r="I3539">
        <f t="shared" si="1238"/>
        <v>120</v>
      </c>
      <c r="J3539" t="s">
        <v>165</v>
      </c>
      <c r="K3539">
        <v>34</v>
      </c>
      <c r="M3539">
        <f t="shared" si="1236"/>
        <v>68</v>
      </c>
      <c r="N3539">
        <f t="shared" si="1237"/>
        <v>52</v>
      </c>
    </row>
    <row r="3540" spans="1:14" x14ac:dyDescent="0.25">
      <c r="A3540">
        <v>220</v>
      </c>
      <c r="B3540" s="1">
        <v>44123</v>
      </c>
      <c r="C3540" t="str">
        <f t="shared" si="1235"/>
        <v>octubre</v>
      </c>
      <c r="D3540" t="s">
        <v>55</v>
      </c>
      <c r="F3540" t="s">
        <v>22</v>
      </c>
      <c r="G3540">
        <v>1.42</v>
      </c>
      <c r="H3540">
        <v>300</v>
      </c>
      <c r="I3540">
        <f t="shared" si="1238"/>
        <v>426</v>
      </c>
      <c r="J3540" t="s">
        <v>167</v>
      </c>
      <c r="K3540">
        <v>268</v>
      </c>
      <c r="M3540">
        <f t="shared" si="1236"/>
        <v>380.56</v>
      </c>
      <c r="N3540">
        <f t="shared" si="1237"/>
        <v>45.44</v>
      </c>
    </row>
    <row r="3541" spans="1:14" x14ac:dyDescent="0.25">
      <c r="A3541">
        <v>221</v>
      </c>
      <c r="B3541" s="1">
        <v>44123</v>
      </c>
      <c r="C3541" t="str">
        <f t="shared" si="1235"/>
        <v>octubre</v>
      </c>
      <c r="D3541" t="s">
        <v>15</v>
      </c>
      <c r="F3541" t="s">
        <v>19</v>
      </c>
      <c r="G3541">
        <f>2/9</f>
        <v>0.22222222222222221</v>
      </c>
      <c r="H3541">
        <v>300</v>
      </c>
      <c r="I3541">
        <f t="shared" si="1238"/>
        <v>66.666666666666657</v>
      </c>
      <c r="J3541" t="s">
        <v>167</v>
      </c>
      <c r="K3541">
        <v>268</v>
      </c>
      <c r="M3541">
        <f t="shared" si="1236"/>
        <v>59.55555555555555</v>
      </c>
      <c r="N3541">
        <f t="shared" si="1237"/>
        <v>7.1111111111111072</v>
      </c>
    </row>
    <row r="3542" spans="1:14" x14ac:dyDescent="0.25">
      <c r="A3542">
        <v>222</v>
      </c>
      <c r="B3542" s="1">
        <v>44123</v>
      </c>
      <c r="C3542" t="str">
        <f t="shared" si="1235"/>
        <v>octubre</v>
      </c>
      <c r="D3542" t="s">
        <v>55</v>
      </c>
      <c r="F3542" t="s">
        <v>89</v>
      </c>
      <c r="G3542">
        <f>6/17</f>
        <v>0.35294117647058826</v>
      </c>
      <c r="H3542">
        <v>300</v>
      </c>
      <c r="I3542">
        <f t="shared" si="1238"/>
        <v>105.88235294117648</v>
      </c>
      <c r="J3542" t="s">
        <v>167</v>
      </c>
      <c r="K3542">
        <v>268</v>
      </c>
      <c r="M3542">
        <f t="shared" si="1236"/>
        <v>94.588235294117652</v>
      </c>
      <c r="N3542">
        <f t="shared" si="1237"/>
        <v>11.294117647058826</v>
      </c>
    </row>
    <row r="3543" spans="1:14" x14ac:dyDescent="0.25">
      <c r="A3543">
        <v>223</v>
      </c>
      <c r="B3543" s="1">
        <v>44123</v>
      </c>
      <c r="C3543" t="str">
        <f t="shared" si="1235"/>
        <v>octubre</v>
      </c>
      <c r="D3543" t="s">
        <v>15</v>
      </c>
      <c r="F3543" t="s">
        <v>510</v>
      </c>
      <c r="G3543">
        <f>4/6*1.22</f>
        <v>0.81333333333333324</v>
      </c>
      <c r="H3543">
        <v>360</v>
      </c>
      <c r="I3543">
        <f t="shared" si="1238"/>
        <v>292.79999999999995</v>
      </c>
      <c r="J3543" t="s">
        <v>167</v>
      </c>
      <c r="K3543">
        <v>290</v>
      </c>
      <c r="M3543">
        <f t="shared" si="1236"/>
        <v>235.86666666666665</v>
      </c>
      <c r="N3543">
        <f t="shared" si="1237"/>
        <v>56.933333333333309</v>
      </c>
    </row>
    <row r="3544" spans="1:14" x14ac:dyDescent="0.25">
      <c r="A3544">
        <v>224</v>
      </c>
      <c r="B3544" s="1">
        <v>44123</v>
      </c>
      <c r="C3544" t="str">
        <f t="shared" si="1235"/>
        <v>octubre</v>
      </c>
      <c r="D3544" t="s">
        <v>15</v>
      </c>
      <c r="F3544" t="s">
        <v>312</v>
      </c>
      <c r="G3544">
        <v>2.5</v>
      </c>
      <c r="H3544">
        <v>300</v>
      </c>
      <c r="I3544">
        <f t="shared" si="1238"/>
        <v>750</v>
      </c>
      <c r="J3544" t="s">
        <v>167</v>
      </c>
      <c r="K3544">
        <v>268</v>
      </c>
      <c r="M3544">
        <f t="shared" si="1236"/>
        <v>670</v>
      </c>
      <c r="N3544">
        <f t="shared" si="1237"/>
        <v>80</v>
      </c>
    </row>
    <row r="3545" spans="1:14" x14ac:dyDescent="0.25">
      <c r="A3545">
        <v>225</v>
      </c>
      <c r="B3545" s="1">
        <v>44123</v>
      </c>
      <c r="C3545" t="str">
        <f t="shared" si="1235"/>
        <v>octubre</v>
      </c>
      <c r="D3545" t="s">
        <v>70</v>
      </c>
      <c r="F3545" t="s">
        <v>227</v>
      </c>
      <c r="G3545">
        <v>1</v>
      </c>
      <c r="H3545">
        <v>1650</v>
      </c>
      <c r="I3545">
        <f t="shared" si="1238"/>
        <v>1650</v>
      </c>
      <c r="J3545" t="s">
        <v>167</v>
      </c>
      <c r="K3545">
        <v>1440</v>
      </c>
      <c r="M3545">
        <f t="shared" si="1236"/>
        <v>1440</v>
      </c>
      <c r="N3545">
        <f t="shared" si="1237"/>
        <v>210</v>
      </c>
    </row>
    <row r="3546" spans="1:14" x14ac:dyDescent="0.25">
      <c r="A3546">
        <v>226</v>
      </c>
      <c r="B3546" s="1">
        <v>44123</v>
      </c>
      <c r="C3546" t="str">
        <f t="shared" si="1235"/>
        <v>octubre</v>
      </c>
      <c r="D3546" t="s">
        <v>55</v>
      </c>
      <c r="F3546" t="s">
        <v>22</v>
      </c>
      <c r="G3546">
        <v>4</v>
      </c>
      <c r="H3546">
        <v>300</v>
      </c>
      <c r="I3546">
        <f t="shared" si="1238"/>
        <v>1200</v>
      </c>
      <c r="J3546" t="s">
        <v>167</v>
      </c>
      <c r="K3546">
        <v>268</v>
      </c>
      <c r="M3546">
        <f t="shared" si="1236"/>
        <v>1072</v>
      </c>
      <c r="N3546">
        <f t="shared" si="1237"/>
        <v>128</v>
      </c>
    </row>
    <row r="3547" spans="1:14" x14ac:dyDescent="0.25">
      <c r="A3547">
        <v>227</v>
      </c>
      <c r="B3547" s="1">
        <v>44123</v>
      </c>
      <c r="C3547" t="str">
        <f t="shared" si="1235"/>
        <v>octubre</v>
      </c>
      <c r="D3547" t="s">
        <v>15</v>
      </c>
      <c r="F3547" t="s">
        <v>28</v>
      </c>
      <c r="G3547">
        <v>1.5</v>
      </c>
      <c r="H3547">
        <v>240</v>
      </c>
      <c r="I3547">
        <f t="shared" si="1238"/>
        <v>360</v>
      </c>
      <c r="J3547" t="s">
        <v>163</v>
      </c>
      <c r="K3547">
        <v>217</v>
      </c>
      <c r="M3547">
        <f t="shared" si="1236"/>
        <v>325.5</v>
      </c>
      <c r="N3547">
        <f t="shared" si="1237"/>
        <v>34.5</v>
      </c>
    </row>
    <row r="3548" spans="1:14" x14ac:dyDescent="0.25">
      <c r="A3548">
        <v>228</v>
      </c>
      <c r="B3548" s="1">
        <v>44123</v>
      </c>
      <c r="C3548" t="str">
        <f t="shared" si="1235"/>
        <v>octubre</v>
      </c>
      <c r="D3548" t="s">
        <v>56</v>
      </c>
      <c r="F3548" t="s">
        <v>267</v>
      </c>
      <c r="G3548">
        <v>9</v>
      </c>
      <c r="H3548">
        <v>170</v>
      </c>
      <c r="I3548">
        <f t="shared" si="1238"/>
        <v>1530</v>
      </c>
      <c r="J3548" t="s">
        <v>163</v>
      </c>
      <c r="K3548">
        <v>125</v>
      </c>
      <c r="M3548">
        <f t="shared" si="1236"/>
        <v>1125</v>
      </c>
      <c r="N3548">
        <f t="shared" si="1237"/>
        <v>405</v>
      </c>
    </row>
    <row r="3549" spans="1:14" x14ac:dyDescent="0.25">
      <c r="A3549">
        <v>229</v>
      </c>
      <c r="B3549" s="1">
        <v>44123</v>
      </c>
      <c r="C3549" t="str">
        <f t="shared" si="1235"/>
        <v>octubre</v>
      </c>
      <c r="D3549" t="s">
        <v>44</v>
      </c>
      <c r="F3549" t="s">
        <v>412</v>
      </c>
      <c r="G3549">
        <v>2</v>
      </c>
      <c r="H3549">
        <v>35</v>
      </c>
      <c r="I3549">
        <f t="shared" si="1238"/>
        <v>70</v>
      </c>
      <c r="J3549" t="s">
        <v>166</v>
      </c>
      <c r="K3549">
        <v>20</v>
      </c>
      <c r="M3549">
        <f t="shared" si="1236"/>
        <v>40</v>
      </c>
      <c r="N3549">
        <f t="shared" si="1237"/>
        <v>30</v>
      </c>
    </row>
    <row r="3550" spans="1:14" x14ac:dyDescent="0.25">
      <c r="A3550">
        <v>230</v>
      </c>
      <c r="B3550" s="1">
        <v>44123</v>
      </c>
      <c r="C3550" t="str">
        <f t="shared" ref="C3550:C3613" si="1239">+TEXT(B3550,"mmmm")</f>
        <v>octubre</v>
      </c>
      <c r="D3550" t="s">
        <v>85</v>
      </c>
      <c r="F3550" t="s">
        <v>216</v>
      </c>
      <c r="G3550">
        <v>1</v>
      </c>
      <c r="H3550">
        <v>900</v>
      </c>
      <c r="I3550">
        <f t="shared" si="1238"/>
        <v>900</v>
      </c>
      <c r="J3550" t="s">
        <v>167</v>
      </c>
      <c r="K3550">
        <v>480</v>
      </c>
      <c r="M3550">
        <f t="shared" si="1236"/>
        <v>480</v>
      </c>
      <c r="N3550">
        <f t="shared" si="1237"/>
        <v>420</v>
      </c>
    </row>
    <row r="3551" spans="1:14" x14ac:dyDescent="0.25">
      <c r="A3551">
        <v>231</v>
      </c>
      <c r="B3551" s="1">
        <v>44123</v>
      </c>
      <c r="C3551" t="str">
        <f t="shared" si="1239"/>
        <v>octubre</v>
      </c>
      <c r="D3551" t="s">
        <v>85</v>
      </c>
      <c r="F3551" t="s">
        <v>266</v>
      </c>
      <c r="G3551">
        <v>1</v>
      </c>
      <c r="H3551">
        <v>250</v>
      </c>
      <c r="I3551">
        <f t="shared" si="1238"/>
        <v>250</v>
      </c>
      <c r="J3551" t="s">
        <v>166</v>
      </c>
      <c r="K3551">
        <v>170</v>
      </c>
      <c r="M3551">
        <f t="shared" si="1236"/>
        <v>170</v>
      </c>
      <c r="N3551">
        <f t="shared" si="1237"/>
        <v>80</v>
      </c>
    </row>
    <row r="3552" spans="1:14" x14ac:dyDescent="0.25">
      <c r="A3552">
        <v>232</v>
      </c>
      <c r="B3552" s="1">
        <v>44123</v>
      </c>
      <c r="C3552" t="str">
        <f t="shared" si="1239"/>
        <v>octubre</v>
      </c>
      <c r="D3552" t="s">
        <v>15</v>
      </c>
      <c r="F3552" t="s">
        <v>20</v>
      </c>
      <c r="G3552">
        <v>10</v>
      </c>
      <c r="H3552">
        <v>270</v>
      </c>
      <c r="I3552">
        <f t="shared" si="1238"/>
        <v>2700</v>
      </c>
      <c r="J3552" t="s">
        <v>163</v>
      </c>
      <c r="K3552">
        <v>232</v>
      </c>
      <c r="M3552">
        <f t="shared" si="1236"/>
        <v>2320</v>
      </c>
      <c r="N3552">
        <f t="shared" si="1237"/>
        <v>380</v>
      </c>
    </row>
    <row r="3553" spans="1:14" x14ac:dyDescent="0.25">
      <c r="A3553">
        <v>233</v>
      </c>
      <c r="B3553" s="1">
        <v>44123</v>
      </c>
      <c r="C3553" t="str">
        <f t="shared" si="1239"/>
        <v>octubre</v>
      </c>
      <c r="D3553" t="s">
        <v>15</v>
      </c>
      <c r="F3553" t="s">
        <v>518</v>
      </c>
      <c r="G3553">
        <v>9</v>
      </c>
      <c r="H3553">
        <v>280</v>
      </c>
      <c r="I3553">
        <f t="shared" si="1238"/>
        <v>2520</v>
      </c>
      <c r="J3553" t="s">
        <v>163</v>
      </c>
      <c r="K3553">
        <v>226</v>
      </c>
      <c r="M3553">
        <f t="shared" si="1236"/>
        <v>2034</v>
      </c>
      <c r="N3553">
        <f t="shared" si="1237"/>
        <v>486</v>
      </c>
    </row>
    <row r="3554" spans="1:14" x14ac:dyDescent="0.25">
      <c r="A3554">
        <v>234</v>
      </c>
      <c r="B3554" s="1">
        <v>44123</v>
      </c>
      <c r="C3554" t="str">
        <f t="shared" si="1239"/>
        <v>octubre</v>
      </c>
      <c r="D3554" t="s">
        <v>15</v>
      </c>
      <c r="F3554" t="s">
        <v>28</v>
      </c>
      <c r="G3554">
        <v>1</v>
      </c>
      <c r="H3554">
        <v>240</v>
      </c>
      <c r="I3554">
        <f t="shared" si="1238"/>
        <v>240</v>
      </c>
      <c r="J3554" t="s">
        <v>163</v>
      </c>
      <c r="K3554">
        <v>217</v>
      </c>
      <c r="M3554">
        <f t="shared" si="1236"/>
        <v>217</v>
      </c>
      <c r="N3554">
        <f t="shared" si="1237"/>
        <v>23</v>
      </c>
    </row>
    <row r="3555" spans="1:14" x14ac:dyDescent="0.25">
      <c r="A3555">
        <v>235</v>
      </c>
      <c r="B3555" s="1">
        <v>44123</v>
      </c>
      <c r="C3555" t="str">
        <f t="shared" si="1239"/>
        <v>octubre</v>
      </c>
      <c r="D3555" t="s">
        <v>55</v>
      </c>
      <c r="F3555" t="s">
        <v>111</v>
      </c>
      <c r="G3555">
        <v>7</v>
      </c>
      <c r="H3555">
        <v>300</v>
      </c>
      <c r="I3555">
        <f t="shared" si="1238"/>
        <v>2100</v>
      </c>
      <c r="J3555" t="s">
        <v>167</v>
      </c>
      <c r="K3555">
        <v>268</v>
      </c>
      <c r="M3555">
        <f t="shared" si="1236"/>
        <v>1876</v>
      </c>
      <c r="N3555">
        <f t="shared" si="1237"/>
        <v>224</v>
      </c>
    </row>
    <row r="3556" spans="1:14" x14ac:dyDescent="0.25">
      <c r="A3556">
        <v>236</v>
      </c>
      <c r="B3556" s="1">
        <v>44123</v>
      </c>
      <c r="C3556" t="str">
        <f t="shared" si="1239"/>
        <v>octubre</v>
      </c>
      <c r="D3556" t="s">
        <v>44</v>
      </c>
      <c r="F3556" t="s">
        <v>138</v>
      </c>
      <c r="G3556">
        <v>1</v>
      </c>
      <c r="H3556">
        <v>35</v>
      </c>
      <c r="I3556">
        <f t="shared" si="1238"/>
        <v>35</v>
      </c>
      <c r="J3556" t="s">
        <v>166</v>
      </c>
      <c r="K3556">
        <v>26</v>
      </c>
      <c r="M3556">
        <f t="shared" si="1236"/>
        <v>26</v>
      </c>
      <c r="N3556">
        <f t="shared" si="1237"/>
        <v>9</v>
      </c>
    </row>
    <row r="3557" spans="1:14" x14ac:dyDescent="0.25">
      <c r="A3557">
        <v>237</v>
      </c>
      <c r="B3557" s="1">
        <v>44123</v>
      </c>
      <c r="C3557" t="str">
        <f t="shared" si="1239"/>
        <v>octubre</v>
      </c>
      <c r="D3557" t="s">
        <v>25</v>
      </c>
      <c r="F3557" t="s">
        <v>57</v>
      </c>
      <c r="G3557">
        <v>2</v>
      </c>
      <c r="H3557">
        <v>60</v>
      </c>
      <c r="I3557">
        <f t="shared" si="1238"/>
        <v>120</v>
      </c>
      <c r="J3557" t="s">
        <v>165</v>
      </c>
      <c r="K3557">
        <v>34</v>
      </c>
      <c r="M3557">
        <f t="shared" si="1236"/>
        <v>68</v>
      </c>
      <c r="N3557">
        <f t="shared" si="1237"/>
        <v>52</v>
      </c>
    </row>
    <row r="3558" spans="1:14" x14ac:dyDescent="0.25">
      <c r="A3558">
        <v>238</v>
      </c>
      <c r="B3558" s="1">
        <v>44123</v>
      </c>
      <c r="C3558" t="str">
        <f t="shared" si="1239"/>
        <v>octubre</v>
      </c>
      <c r="D3558" t="s">
        <v>56</v>
      </c>
      <c r="F3558" t="s">
        <v>267</v>
      </c>
      <c r="G3558">
        <v>2</v>
      </c>
      <c r="H3558">
        <v>170</v>
      </c>
      <c r="I3558">
        <f t="shared" si="1238"/>
        <v>340</v>
      </c>
      <c r="J3558" t="s">
        <v>163</v>
      </c>
      <c r="K3558">
        <v>125</v>
      </c>
      <c r="M3558">
        <f t="shared" si="1236"/>
        <v>250</v>
      </c>
      <c r="N3558">
        <f t="shared" si="1237"/>
        <v>90</v>
      </c>
    </row>
    <row r="3559" spans="1:14" x14ac:dyDescent="0.25">
      <c r="A3559">
        <v>239</v>
      </c>
      <c r="B3559" s="1">
        <v>44123</v>
      </c>
      <c r="C3559" t="str">
        <f t="shared" si="1239"/>
        <v>octubre</v>
      </c>
      <c r="D3559" t="s">
        <v>15</v>
      </c>
      <c r="F3559" t="s">
        <v>519</v>
      </c>
      <c r="G3559">
        <v>3</v>
      </c>
      <c r="H3559">
        <v>250</v>
      </c>
      <c r="I3559">
        <f t="shared" si="1238"/>
        <v>750</v>
      </c>
      <c r="J3559" t="s">
        <v>167</v>
      </c>
      <c r="K3559">
        <v>219</v>
      </c>
      <c r="M3559">
        <f t="shared" si="1236"/>
        <v>657</v>
      </c>
      <c r="N3559">
        <f t="shared" si="1237"/>
        <v>93</v>
      </c>
    </row>
    <row r="3560" spans="1:14" x14ac:dyDescent="0.25">
      <c r="A3560">
        <v>240</v>
      </c>
      <c r="B3560" s="1">
        <v>44123</v>
      </c>
      <c r="C3560" t="str">
        <f t="shared" si="1239"/>
        <v>octubre</v>
      </c>
      <c r="D3560" t="s">
        <v>55</v>
      </c>
      <c r="F3560" t="s">
        <v>22</v>
      </c>
      <c r="G3560">
        <v>6</v>
      </c>
      <c r="H3560">
        <v>300</v>
      </c>
      <c r="I3560">
        <f t="shared" si="1238"/>
        <v>1800</v>
      </c>
      <c r="J3560" t="s">
        <v>167</v>
      </c>
      <c r="K3560">
        <v>268</v>
      </c>
      <c r="M3560">
        <f t="shared" si="1236"/>
        <v>1608</v>
      </c>
      <c r="N3560">
        <f t="shared" si="1237"/>
        <v>192</v>
      </c>
    </row>
    <row r="3561" spans="1:14" x14ac:dyDescent="0.25">
      <c r="A3561">
        <v>241</v>
      </c>
      <c r="B3561" s="1">
        <v>44123</v>
      </c>
      <c r="C3561" t="str">
        <f t="shared" si="1239"/>
        <v>octubre</v>
      </c>
      <c r="D3561" t="s">
        <v>55</v>
      </c>
      <c r="F3561" t="s">
        <v>108</v>
      </c>
      <c r="G3561">
        <v>1</v>
      </c>
      <c r="H3561">
        <v>300</v>
      </c>
      <c r="I3561">
        <f t="shared" si="1238"/>
        <v>300</v>
      </c>
      <c r="J3561" t="s">
        <v>167</v>
      </c>
      <c r="K3561">
        <v>268</v>
      </c>
      <c r="M3561">
        <f t="shared" si="1236"/>
        <v>268</v>
      </c>
      <c r="N3561">
        <f t="shared" si="1237"/>
        <v>32</v>
      </c>
    </row>
    <row r="3562" spans="1:14" x14ac:dyDescent="0.25">
      <c r="A3562">
        <v>242</v>
      </c>
      <c r="B3562" s="1">
        <v>44124</v>
      </c>
      <c r="C3562" t="str">
        <f t="shared" si="1239"/>
        <v>octubre</v>
      </c>
      <c r="D3562" t="s">
        <v>55</v>
      </c>
      <c r="F3562" t="s">
        <v>431</v>
      </c>
      <c r="G3562">
        <v>3</v>
      </c>
      <c r="H3562">
        <v>300</v>
      </c>
      <c r="I3562">
        <f t="shared" si="1238"/>
        <v>900</v>
      </c>
      <c r="J3562" t="s">
        <v>167</v>
      </c>
      <c r="K3562">
        <v>268</v>
      </c>
      <c r="M3562">
        <f t="shared" si="1236"/>
        <v>804</v>
      </c>
      <c r="N3562">
        <f t="shared" si="1237"/>
        <v>96</v>
      </c>
    </row>
    <row r="3563" spans="1:14" x14ac:dyDescent="0.25">
      <c r="A3563">
        <v>243</v>
      </c>
      <c r="B3563" s="1">
        <v>44124</v>
      </c>
      <c r="C3563" t="str">
        <f t="shared" si="1239"/>
        <v>octubre</v>
      </c>
      <c r="D3563" t="s">
        <v>15</v>
      </c>
      <c r="F3563" t="s">
        <v>421</v>
      </c>
      <c r="G3563">
        <v>10</v>
      </c>
      <c r="H3563">
        <v>290</v>
      </c>
      <c r="I3563">
        <f t="shared" si="1238"/>
        <v>2900</v>
      </c>
      <c r="J3563" t="s">
        <v>167</v>
      </c>
      <c r="K3563">
        <v>253</v>
      </c>
      <c r="M3563">
        <f t="shared" ref="M3563:M3626" si="1240">+IF(K3563=0,(""),(K3563*G3563))</f>
        <v>2530</v>
      </c>
      <c r="N3563">
        <f t="shared" ref="N3563:N3626" si="1241">+IF(K3563=0,(""),(I3563-M3563))</f>
        <v>370</v>
      </c>
    </row>
    <row r="3564" spans="1:14" x14ac:dyDescent="0.25">
      <c r="A3564">
        <v>244</v>
      </c>
      <c r="B3564" s="1">
        <v>44124</v>
      </c>
      <c r="C3564" t="str">
        <f t="shared" si="1239"/>
        <v>octubre</v>
      </c>
      <c r="D3564" t="s">
        <v>25</v>
      </c>
      <c r="F3564" t="s">
        <v>218</v>
      </c>
      <c r="G3564">
        <v>1</v>
      </c>
      <c r="H3564">
        <v>100</v>
      </c>
      <c r="I3564">
        <f t="shared" si="1238"/>
        <v>100</v>
      </c>
      <c r="J3564" t="s">
        <v>163</v>
      </c>
      <c r="K3564">
        <v>80</v>
      </c>
      <c r="M3564">
        <f t="shared" si="1240"/>
        <v>80</v>
      </c>
      <c r="N3564">
        <f t="shared" si="1241"/>
        <v>20</v>
      </c>
    </row>
    <row r="3565" spans="1:14" x14ac:dyDescent="0.25">
      <c r="A3565">
        <v>245</v>
      </c>
      <c r="B3565" s="1">
        <v>44124</v>
      </c>
      <c r="C3565" t="str">
        <f t="shared" si="1239"/>
        <v>octubre</v>
      </c>
      <c r="D3565" t="s">
        <v>55</v>
      </c>
      <c r="F3565" t="s">
        <v>473</v>
      </c>
      <c r="G3565">
        <v>12</v>
      </c>
      <c r="H3565">
        <v>290</v>
      </c>
      <c r="I3565">
        <f t="shared" si="1238"/>
        <v>3480</v>
      </c>
      <c r="J3565" t="s">
        <v>167</v>
      </c>
      <c r="K3565">
        <v>268</v>
      </c>
      <c r="M3565">
        <f t="shared" si="1240"/>
        <v>3216</v>
      </c>
      <c r="N3565">
        <f t="shared" si="1241"/>
        <v>264</v>
      </c>
    </row>
    <row r="3566" spans="1:14" x14ac:dyDescent="0.25">
      <c r="A3566">
        <v>246</v>
      </c>
      <c r="B3566" s="1">
        <v>44124</v>
      </c>
      <c r="C3566" t="str">
        <f t="shared" si="1239"/>
        <v>octubre</v>
      </c>
      <c r="D3566" t="s">
        <v>70</v>
      </c>
      <c r="F3566" t="s">
        <v>227</v>
      </c>
      <c r="G3566">
        <v>1</v>
      </c>
      <c r="H3566">
        <v>1610</v>
      </c>
      <c r="I3566">
        <f t="shared" si="1238"/>
        <v>1610</v>
      </c>
      <c r="J3566" t="s">
        <v>167</v>
      </c>
      <c r="K3566">
        <v>1440</v>
      </c>
      <c r="M3566">
        <f t="shared" si="1240"/>
        <v>1440</v>
      </c>
      <c r="N3566">
        <f t="shared" si="1241"/>
        <v>170</v>
      </c>
    </row>
    <row r="3567" spans="1:14" x14ac:dyDescent="0.25">
      <c r="A3567">
        <v>247</v>
      </c>
      <c r="B3567" s="1">
        <v>44124</v>
      </c>
      <c r="C3567" t="str">
        <f t="shared" si="1239"/>
        <v>octubre</v>
      </c>
      <c r="D3567" t="s">
        <v>55</v>
      </c>
      <c r="F3567" t="s">
        <v>434</v>
      </c>
      <c r="G3567">
        <v>1.5</v>
      </c>
      <c r="H3567">
        <v>300</v>
      </c>
      <c r="I3567">
        <f t="shared" si="1238"/>
        <v>450</v>
      </c>
      <c r="J3567" t="s">
        <v>167</v>
      </c>
      <c r="K3567">
        <v>268</v>
      </c>
      <c r="M3567">
        <f t="shared" si="1240"/>
        <v>402</v>
      </c>
      <c r="N3567">
        <f t="shared" si="1241"/>
        <v>48</v>
      </c>
    </row>
    <row r="3568" spans="1:14" x14ac:dyDescent="0.25">
      <c r="A3568">
        <v>248</v>
      </c>
      <c r="B3568" s="1">
        <v>44124</v>
      </c>
      <c r="C3568" t="str">
        <f t="shared" si="1239"/>
        <v>octubre</v>
      </c>
      <c r="D3568" t="s">
        <v>55</v>
      </c>
      <c r="F3568" t="s">
        <v>505</v>
      </c>
      <c r="G3568">
        <v>6</v>
      </c>
      <c r="H3568">
        <v>270</v>
      </c>
      <c r="I3568">
        <f t="shared" si="1238"/>
        <v>1620</v>
      </c>
      <c r="J3568" t="s">
        <v>167</v>
      </c>
      <c r="K3568">
        <v>207</v>
      </c>
      <c r="M3568">
        <f t="shared" si="1240"/>
        <v>1242</v>
      </c>
      <c r="N3568">
        <f t="shared" si="1241"/>
        <v>378</v>
      </c>
    </row>
    <row r="3569" spans="1:14" x14ac:dyDescent="0.25">
      <c r="A3569">
        <v>249</v>
      </c>
      <c r="B3569" s="1">
        <v>44124</v>
      </c>
      <c r="C3569" t="str">
        <f t="shared" si="1239"/>
        <v>octubre</v>
      </c>
      <c r="D3569" t="s">
        <v>56</v>
      </c>
      <c r="F3569" t="s">
        <v>267</v>
      </c>
      <c r="G3569">
        <v>2</v>
      </c>
      <c r="H3569">
        <v>170</v>
      </c>
      <c r="I3569">
        <f t="shared" si="1238"/>
        <v>340</v>
      </c>
      <c r="J3569" t="s">
        <v>163</v>
      </c>
      <c r="K3569">
        <v>125</v>
      </c>
      <c r="M3569">
        <f t="shared" si="1240"/>
        <v>250</v>
      </c>
      <c r="N3569">
        <f t="shared" si="1241"/>
        <v>90</v>
      </c>
    </row>
    <row r="3570" spans="1:14" x14ac:dyDescent="0.25">
      <c r="A3570">
        <v>250</v>
      </c>
      <c r="B3570" s="1">
        <v>44124</v>
      </c>
      <c r="C3570" t="str">
        <f t="shared" si="1239"/>
        <v>octubre</v>
      </c>
      <c r="D3570" t="s">
        <v>25</v>
      </c>
      <c r="F3570" t="s">
        <v>127</v>
      </c>
      <c r="G3570">
        <v>1</v>
      </c>
      <c r="H3570">
        <v>60</v>
      </c>
      <c r="I3570">
        <f t="shared" si="1238"/>
        <v>60</v>
      </c>
      <c r="J3570" t="s">
        <v>165</v>
      </c>
      <c r="K3570">
        <v>34</v>
      </c>
      <c r="M3570">
        <f t="shared" si="1240"/>
        <v>34</v>
      </c>
      <c r="N3570">
        <f t="shared" si="1241"/>
        <v>26</v>
      </c>
    </row>
    <row r="3571" spans="1:14" x14ac:dyDescent="0.25">
      <c r="A3571">
        <v>251</v>
      </c>
      <c r="B3571" s="1">
        <v>44124</v>
      </c>
      <c r="C3571" t="str">
        <f t="shared" si="1239"/>
        <v>octubre</v>
      </c>
      <c r="D3571" t="s">
        <v>55</v>
      </c>
      <c r="F3571" t="s">
        <v>22</v>
      </c>
      <c r="G3571">
        <v>1</v>
      </c>
      <c r="H3571">
        <v>300</v>
      </c>
      <c r="I3571">
        <f t="shared" si="1238"/>
        <v>300</v>
      </c>
      <c r="J3571" t="s">
        <v>167</v>
      </c>
      <c r="K3571">
        <v>268</v>
      </c>
      <c r="M3571">
        <f t="shared" si="1240"/>
        <v>268</v>
      </c>
      <c r="N3571">
        <f t="shared" si="1241"/>
        <v>32</v>
      </c>
    </row>
    <row r="3572" spans="1:14" x14ac:dyDescent="0.25">
      <c r="A3572">
        <v>252</v>
      </c>
      <c r="B3572" s="1">
        <v>44124</v>
      </c>
      <c r="C3572" t="str">
        <f t="shared" si="1239"/>
        <v>octubre</v>
      </c>
      <c r="D3572" t="s">
        <v>25</v>
      </c>
      <c r="F3572" t="s">
        <v>57</v>
      </c>
      <c r="G3572">
        <v>1</v>
      </c>
      <c r="H3572">
        <v>60</v>
      </c>
      <c r="I3572">
        <f t="shared" si="1238"/>
        <v>60</v>
      </c>
      <c r="J3572" t="s">
        <v>165</v>
      </c>
      <c r="K3572">
        <v>34</v>
      </c>
      <c r="M3572">
        <f t="shared" si="1240"/>
        <v>34</v>
      </c>
      <c r="N3572">
        <f t="shared" si="1241"/>
        <v>26</v>
      </c>
    </row>
    <row r="3573" spans="1:14" x14ac:dyDescent="0.25">
      <c r="A3573">
        <v>253</v>
      </c>
      <c r="B3573" s="1">
        <v>44125</v>
      </c>
      <c r="C3573" t="str">
        <f t="shared" si="1239"/>
        <v>octubre</v>
      </c>
      <c r="D3573" t="s">
        <v>56</v>
      </c>
      <c r="F3573" t="s">
        <v>267</v>
      </c>
      <c r="G3573">
        <v>1</v>
      </c>
      <c r="H3573">
        <v>170</v>
      </c>
      <c r="I3573">
        <f t="shared" si="1238"/>
        <v>170</v>
      </c>
      <c r="J3573" t="s">
        <v>163</v>
      </c>
      <c r="K3573">
        <v>125</v>
      </c>
      <c r="M3573">
        <f t="shared" si="1240"/>
        <v>125</v>
      </c>
      <c r="N3573">
        <f t="shared" si="1241"/>
        <v>45</v>
      </c>
    </row>
    <row r="3574" spans="1:14" x14ac:dyDescent="0.25">
      <c r="A3574">
        <v>254</v>
      </c>
      <c r="B3574" s="1">
        <v>44125</v>
      </c>
      <c r="C3574" t="str">
        <f t="shared" si="1239"/>
        <v>octubre</v>
      </c>
      <c r="D3574" t="s">
        <v>44</v>
      </c>
      <c r="F3574" t="s">
        <v>138</v>
      </c>
      <c r="G3574">
        <v>1</v>
      </c>
      <c r="H3574">
        <v>35</v>
      </c>
      <c r="I3574">
        <f t="shared" si="1238"/>
        <v>35</v>
      </c>
      <c r="J3574" t="s">
        <v>166</v>
      </c>
      <c r="K3574">
        <v>26</v>
      </c>
      <c r="M3574">
        <f t="shared" si="1240"/>
        <v>26</v>
      </c>
      <c r="N3574">
        <f t="shared" si="1241"/>
        <v>9</v>
      </c>
    </row>
    <row r="3575" spans="1:14" x14ac:dyDescent="0.25">
      <c r="A3575">
        <v>255</v>
      </c>
      <c r="B3575" s="1">
        <v>44125</v>
      </c>
      <c r="C3575" t="str">
        <f t="shared" si="1239"/>
        <v>octubre</v>
      </c>
      <c r="D3575" t="s">
        <v>15</v>
      </c>
      <c r="F3575" t="s">
        <v>80</v>
      </c>
      <c r="G3575">
        <v>4</v>
      </c>
      <c r="H3575">
        <v>270</v>
      </c>
      <c r="I3575">
        <f t="shared" si="1238"/>
        <v>1080</v>
      </c>
      <c r="J3575" t="s">
        <v>163</v>
      </c>
      <c r="K3575">
        <v>242</v>
      </c>
      <c r="M3575">
        <f t="shared" si="1240"/>
        <v>968</v>
      </c>
      <c r="N3575">
        <f t="shared" si="1241"/>
        <v>112</v>
      </c>
    </row>
    <row r="3576" spans="1:14" x14ac:dyDescent="0.25">
      <c r="A3576">
        <v>256</v>
      </c>
      <c r="B3576" s="1">
        <v>44125</v>
      </c>
      <c r="C3576" t="str">
        <f t="shared" si="1239"/>
        <v>octubre</v>
      </c>
      <c r="D3576" t="s">
        <v>25</v>
      </c>
      <c r="F3576" t="s">
        <v>127</v>
      </c>
      <c r="G3576">
        <v>1</v>
      </c>
      <c r="H3576">
        <v>60</v>
      </c>
      <c r="I3576">
        <f t="shared" si="1238"/>
        <v>60</v>
      </c>
      <c r="J3576" t="s">
        <v>165</v>
      </c>
      <c r="K3576">
        <v>34</v>
      </c>
      <c r="M3576">
        <f t="shared" si="1240"/>
        <v>34</v>
      </c>
      <c r="N3576">
        <f t="shared" si="1241"/>
        <v>26</v>
      </c>
    </row>
    <row r="3577" spans="1:14" x14ac:dyDescent="0.25">
      <c r="A3577">
        <v>257</v>
      </c>
      <c r="B3577" s="1">
        <v>44125</v>
      </c>
      <c r="C3577" t="str">
        <f t="shared" si="1239"/>
        <v>octubre</v>
      </c>
      <c r="D3577" t="s">
        <v>55</v>
      </c>
      <c r="F3577" t="s">
        <v>39</v>
      </c>
      <c r="G3577">
        <v>3</v>
      </c>
      <c r="H3577">
        <v>300</v>
      </c>
      <c r="I3577">
        <f t="shared" si="1238"/>
        <v>900</v>
      </c>
      <c r="J3577" t="s">
        <v>167</v>
      </c>
      <c r="K3577">
        <v>268</v>
      </c>
      <c r="M3577">
        <f t="shared" si="1240"/>
        <v>804</v>
      </c>
      <c r="N3577">
        <f t="shared" si="1241"/>
        <v>96</v>
      </c>
    </row>
    <row r="3578" spans="1:14" x14ac:dyDescent="0.25">
      <c r="A3578">
        <v>258</v>
      </c>
      <c r="B3578" s="1">
        <v>44125</v>
      </c>
      <c r="C3578" t="str">
        <f t="shared" si="1239"/>
        <v>octubre</v>
      </c>
      <c r="D3578" t="s">
        <v>55</v>
      </c>
      <c r="F3578" t="s">
        <v>89</v>
      </c>
      <c r="G3578">
        <v>10</v>
      </c>
      <c r="H3578">
        <v>295</v>
      </c>
      <c r="I3578">
        <f t="shared" si="1238"/>
        <v>2950</v>
      </c>
      <c r="J3578" t="s">
        <v>167</v>
      </c>
      <c r="K3578">
        <v>268</v>
      </c>
      <c r="M3578">
        <f t="shared" si="1240"/>
        <v>2680</v>
      </c>
      <c r="N3578">
        <f t="shared" si="1241"/>
        <v>270</v>
      </c>
    </row>
    <row r="3579" spans="1:14" x14ac:dyDescent="0.25">
      <c r="A3579">
        <v>259</v>
      </c>
      <c r="B3579" s="1">
        <v>44125</v>
      </c>
      <c r="C3579" t="str">
        <f t="shared" si="1239"/>
        <v>octubre</v>
      </c>
      <c r="D3579" t="s">
        <v>55</v>
      </c>
      <c r="F3579" t="s">
        <v>416</v>
      </c>
      <c r="G3579">
        <v>10</v>
      </c>
      <c r="H3579">
        <v>270</v>
      </c>
      <c r="I3579">
        <f t="shared" si="1238"/>
        <v>2700</v>
      </c>
      <c r="J3579" t="s">
        <v>167</v>
      </c>
      <c r="K3579">
        <v>207</v>
      </c>
      <c r="M3579">
        <f t="shared" si="1240"/>
        <v>2070</v>
      </c>
      <c r="N3579">
        <f t="shared" si="1241"/>
        <v>630</v>
      </c>
    </row>
    <row r="3580" spans="1:14" x14ac:dyDescent="0.25">
      <c r="A3580">
        <v>260</v>
      </c>
      <c r="B3580" s="1">
        <v>44125</v>
      </c>
      <c r="C3580" t="str">
        <f t="shared" si="1239"/>
        <v>octubre</v>
      </c>
      <c r="D3580" t="s">
        <v>15</v>
      </c>
      <c r="F3580" t="s">
        <v>397</v>
      </c>
      <c r="G3580">
        <v>3</v>
      </c>
      <c r="H3580">
        <v>250</v>
      </c>
      <c r="I3580">
        <f t="shared" si="1238"/>
        <v>750</v>
      </c>
      <c r="J3580" t="s">
        <v>167</v>
      </c>
      <c r="K3580">
        <v>219</v>
      </c>
      <c r="M3580">
        <f t="shared" si="1240"/>
        <v>657</v>
      </c>
      <c r="N3580">
        <f t="shared" si="1241"/>
        <v>93</v>
      </c>
    </row>
    <row r="3581" spans="1:14" x14ac:dyDescent="0.25">
      <c r="A3581">
        <v>261</v>
      </c>
      <c r="B3581" s="1">
        <v>44125</v>
      </c>
      <c r="C3581" t="str">
        <f t="shared" si="1239"/>
        <v>octubre</v>
      </c>
      <c r="D3581" t="s">
        <v>55</v>
      </c>
      <c r="F3581" t="s">
        <v>408</v>
      </c>
      <c r="G3581">
        <v>2</v>
      </c>
      <c r="H3581">
        <v>300</v>
      </c>
      <c r="I3581">
        <f t="shared" si="1238"/>
        <v>600</v>
      </c>
      <c r="J3581" t="s">
        <v>167</v>
      </c>
      <c r="K3581">
        <v>268</v>
      </c>
      <c r="M3581">
        <f t="shared" si="1240"/>
        <v>536</v>
      </c>
      <c r="N3581">
        <f t="shared" si="1241"/>
        <v>64</v>
      </c>
    </row>
    <row r="3582" spans="1:14" x14ac:dyDescent="0.25">
      <c r="A3582">
        <v>262</v>
      </c>
      <c r="B3582" s="1">
        <v>44125</v>
      </c>
      <c r="C3582" t="str">
        <f t="shared" si="1239"/>
        <v>octubre</v>
      </c>
      <c r="D3582" t="s">
        <v>15</v>
      </c>
      <c r="F3582" t="s">
        <v>481</v>
      </c>
      <c r="G3582">
        <v>11</v>
      </c>
      <c r="H3582">
        <v>250</v>
      </c>
      <c r="I3582">
        <f t="shared" si="1238"/>
        <v>2750</v>
      </c>
      <c r="J3582" t="s">
        <v>163</v>
      </c>
      <c r="K3582">
        <v>220</v>
      </c>
      <c r="M3582">
        <f t="shared" si="1240"/>
        <v>2420</v>
      </c>
      <c r="N3582">
        <f t="shared" si="1241"/>
        <v>330</v>
      </c>
    </row>
    <row r="3583" spans="1:14" x14ac:dyDescent="0.25">
      <c r="A3583">
        <v>263</v>
      </c>
      <c r="B3583" s="1">
        <v>44125</v>
      </c>
      <c r="C3583" t="str">
        <f t="shared" si="1239"/>
        <v>octubre</v>
      </c>
      <c r="D3583" t="s">
        <v>15</v>
      </c>
      <c r="F3583" t="s">
        <v>20</v>
      </c>
      <c r="G3583">
        <v>23</v>
      </c>
      <c r="H3583">
        <v>265</v>
      </c>
      <c r="I3583">
        <f t="shared" si="1238"/>
        <v>6095</v>
      </c>
      <c r="J3583" t="s">
        <v>163</v>
      </c>
      <c r="K3583">
        <v>232</v>
      </c>
      <c r="M3583">
        <f t="shared" si="1240"/>
        <v>5336</v>
      </c>
      <c r="N3583">
        <f t="shared" si="1241"/>
        <v>759</v>
      </c>
    </row>
    <row r="3584" spans="1:14" x14ac:dyDescent="0.25">
      <c r="A3584">
        <v>264</v>
      </c>
      <c r="B3584" s="1">
        <v>44125</v>
      </c>
      <c r="C3584" t="str">
        <f t="shared" si="1239"/>
        <v>octubre</v>
      </c>
      <c r="D3584" t="s">
        <v>44</v>
      </c>
      <c r="F3584" t="s">
        <v>412</v>
      </c>
      <c r="G3584">
        <v>1</v>
      </c>
      <c r="H3584">
        <v>35</v>
      </c>
      <c r="I3584">
        <f t="shared" si="1238"/>
        <v>35</v>
      </c>
      <c r="J3584" t="s">
        <v>166</v>
      </c>
      <c r="K3584">
        <v>20</v>
      </c>
      <c r="M3584">
        <f t="shared" si="1240"/>
        <v>20</v>
      </c>
      <c r="N3584">
        <f t="shared" si="1241"/>
        <v>15</v>
      </c>
    </row>
    <row r="3585" spans="1:14" x14ac:dyDescent="0.25">
      <c r="A3585">
        <v>265</v>
      </c>
      <c r="B3585" s="1">
        <v>44125</v>
      </c>
      <c r="C3585" t="str">
        <f t="shared" si="1239"/>
        <v>octubre</v>
      </c>
      <c r="D3585" t="s">
        <v>15</v>
      </c>
      <c r="F3585" t="s">
        <v>346</v>
      </c>
      <c r="G3585">
        <v>2</v>
      </c>
      <c r="H3585">
        <v>250</v>
      </c>
      <c r="I3585">
        <f t="shared" si="1238"/>
        <v>500</v>
      </c>
      <c r="J3585" t="s">
        <v>167</v>
      </c>
      <c r="K3585">
        <v>210</v>
      </c>
      <c r="M3585">
        <f t="shared" si="1240"/>
        <v>420</v>
      </c>
      <c r="N3585">
        <f t="shared" si="1241"/>
        <v>80</v>
      </c>
    </row>
    <row r="3586" spans="1:14" x14ac:dyDescent="0.25">
      <c r="A3586">
        <v>266</v>
      </c>
      <c r="B3586" s="1">
        <v>44125</v>
      </c>
      <c r="C3586" t="str">
        <f t="shared" si="1239"/>
        <v>octubre</v>
      </c>
      <c r="D3586" t="s">
        <v>55</v>
      </c>
      <c r="F3586" t="s">
        <v>228</v>
      </c>
      <c r="G3586">
        <f>5/12</f>
        <v>0.41666666666666669</v>
      </c>
      <c r="H3586">
        <v>300</v>
      </c>
      <c r="I3586">
        <f t="shared" si="1238"/>
        <v>125</v>
      </c>
      <c r="J3586" t="s">
        <v>167</v>
      </c>
      <c r="K3586">
        <v>268</v>
      </c>
      <c r="M3586">
        <f t="shared" si="1240"/>
        <v>111.66666666666667</v>
      </c>
      <c r="N3586">
        <f t="shared" si="1241"/>
        <v>13.333333333333329</v>
      </c>
    </row>
    <row r="3587" spans="1:14" x14ac:dyDescent="0.25">
      <c r="A3587">
        <v>267</v>
      </c>
      <c r="B3587" s="1">
        <v>44126</v>
      </c>
      <c r="C3587" t="str">
        <f t="shared" si="1239"/>
        <v>octubre</v>
      </c>
      <c r="D3587" t="s">
        <v>15</v>
      </c>
      <c r="F3587" t="s">
        <v>32</v>
      </c>
      <c r="G3587">
        <f>5/9</f>
        <v>0.55555555555555558</v>
      </c>
      <c r="H3587">
        <v>280</v>
      </c>
      <c r="I3587">
        <f t="shared" si="1238"/>
        <v>155.55555555555557</v>
      </c>
      <c r="J3587" t="s">
        <v>163</v>
      </c>
      <c r="K3587">
        <v>243</v>
      </c>
      <c r="M3587">
        <f t="shared" si="1240"/>
        <v>135</v>
      </c>
      <c r="N3587">
        <f t="shared" si="1241"/>
        <v>20.555555555555571</v>
      </c>
    </row>
    <row r="3588" spans="1:14" x14ac:dyDescent="0.25">
      <c r="A3588">
        <v>268</v>
      </c>
      <c r="B3588" s="1">
        <v>44126</v>
      </c>
      <c r="C3588" t="str">
        <f t="shared" si="1239"/>
        <v>octubre</v>
      </c>
      <c r="D3588" t="s">
        <v>25</v>
      </c>
      <c r="F3588" t="s">
        <v>57</v>
      </c>
      <c r="G3588">
        <v>1</v>
      </c>
      <c r="H3588">
        <v>60</v>
      </c>
      <c r="I3588">
        <f t="shared" si="1238"/>
        <v>60</v>
      </c>
      <c r="J3588" t="s">
        <v>165</v>
      </c>
      <c r="K3588">
        <v>34</v>
      </c>
      <c r="M3588">
        <f t="shared" si="1240"/>
        <v>34</v>
      </c>
      <c r="N3588">
        <f t="shared" si="1241"/>
        <v>26</v>
      </c>
    </row>
    <row r="3589" spans="1:14" x14ac:dyDescent="0.25">
      <c r="A3589">
        <v>269</v>
      </c>
      <c r="B3589" s="1">
        <v>44126</v>
      </c>
      <c r="C3589" t="str">
        <f t="shared" si="1239"/>
        <v>octubre</v>
      </c>
      <c r="D3589" t="s">
        <v>55</v>
      </c>
      <c r="F3589" t="s">
        <v>22</v>
      </c>
      <c r="G3589">
        <f>8/17</f>
        <v>0.47058823529411764</v>
      </c>
      <c r="H3589">
        <v>300</v>
      </c>
      <c r="I3589">
        <f t="shared" si="1238"/>
        <v>141.1764705882353</v>
      </c>
      <c r="J3589" t="s">
        <v>167</v>
      </c>
      <c r="K3589">
        <v>268</v>
      </c>
      <c r="M3589">
        <f t="shared" si="1240"/>
        <v>126.11764705882352</v>
      </c>
      <c r="N3589">
        <f t="shared" si="1241"/>
        <v>15.058823529411782</v>
      </c>
    </row>
    <row r="3590" spans="1:14" x14ac:dyDescent="0.25">
      <c r="A3590">
        <v>270</v>
      </c>
      <c r="B3590" s="1">
        <v>44126</v>
      </c>
      <c r="C3590" t="str">
        <f t="shared" si="1239"/>
        <v>octubre</v>
      </c>
      <c r="D3590" t="s">
        <v>26</v>
      </c>
      <c r="F3590" t="s">
        <v>520</v>
      </c>
      <c r="G3590">
        <v>8</v>
      </c>
      <c r="H3590">
        <v>425</v>
      </c>
      <c r="I3590">
        <f t="shared" si="1238"/>
        <v>3400</v>
      </c>
      <c r="J3590" t="s">
        <v>167</v>
      </c>
      <c r="K3590">
        <v>350</v>
      </c>
      <c r="M3590">
        <f t="shared" si="1240"/>
        <v>2800</v>
      </c>
      <c r="N3590">
        <f t="shared" si="1241"/>
        <v>600</v>
      </c>
    </row>
    <row r="3591" spans="1:14" x14ac:dyDescent="0.25">
      <c r="A3591">
        <v>271</v>
      </c>
      <c r="B3591" s="1">
        <v>44126</v>
      </c>
      <c r="C3591" t="str">
        <f t="shared" si="1239"/>
        <v>octubre</v>
      </c>
      <c r="D3591" t="s">
        <v>56</v>
      </c>
      <c r="F3591" t="s">
        <v>176</v>
      </c>
      <c r="G3591">
        <v>4</v>
      </c>
      <c r="H3591">
        <v>250</v>
      </c>
      <c r="I3591">
        <f t="shared" si="1238"/>
        <v>1000</v>
      </c>
      <c r="J3591" t="s">
        <v>163</v>
      </c>
      <c r="K3591">
        <v>200</v>
      </c>
      <c r="M3591">
        <f t="shared" si="1240"/>
        <v>800</v>
      </c>
      <c r="N3591">
        <f t="shared" si="1241"/>
        <v>200</v>
      </c>
    </row>
    <row r="3592" spans="1:14" x14ac:dyDescent="0.25">
      <c r="A3592">
        <v>272</v>
      </c>
      <c r="B3592" s="1">
        <v>44126</v>
      </c>
      <c r="C3592" t="str">
        <f t="shared" si="1239"/>
        <v>octubre</v>
      </c>
      <c r="D3592" t="s">
        <v>25</v>
      </c>
      <c r="F3592" t="s">
        <v>147</v>
      </c>
      <c r="G3592">
        <v>2</v>
      </c>
      <c r="H3592">
        <v>60</v>
      </c>
      <c r="I3592">
        <f t="shared" si="1238"/>
        <v>120</v>
      </c>
      <c r="J3592" t="s">
        <v>165</v>
      </c>
      <c r="K3592">
        <v>34</v>
      </c>
      <c r="M3592">
        <f t="shared" si="1240"/>
        <v>68</v>
      </c>
      <c r="N3592">
        <f t="shared" si="1241"/>
        <v>52</v>
      </c>
    </row>
    <row r="3593" spans="1:14" x14ac:dyDescent="0.25">
      <c r="A3593">
        <v>273</v>
      </c>
      <c r="B3593" s="1">
        <v>44126</v>
      </c>
      <c r="C3593" t="str">
        <f t="shared" si="1239"/>
        <v>octubre</v>
      </c>
      <c r="D3593" t="s">
        <v>15</v>
      </c>
      <c r="F3593" t="s">
        <v>28</v>
      </c>
      <c r="G3593">
        <v>2.5</v>
      </c>
      <c r="H3593">
        <v>240</v>
      </c>
      <c r="I3593">
        <f t="shared" si="1238"/>
        <v>600</v>
      </c>
      <c r="J3593" t="s">
        <v>163</v>
      </c>
      <c r="K3593">
        <v>217</v>
      </c>
      <c r="M3593">
        <f t="shared" si="1240"/>
        <v>542.5</v>
      </c>
      <c r="N3593">
        <f t="shared" si="1241"/>
        <v>57.5</v>
      </c>
    </row>
    <row r="3594" spans="1:14" x14ac:dyDescent="0.25">
      <c r="A3594">
        <v>274</v>
      </c>
      <c r="B3594" s="1">
        <v>44126</v>
      </c>
      <c r="C3594" t="str">
        <f t="shared" si="1239"/>
        <v>octubre</v>
      </c>
      <c r="D3594" t="s">
        <v>15</v>
      </c>
      <c r="F3594" t="s">
        <v>517</v>
      </c>
      <c r="G3594">
        <v>12.5</v>
      </c>
      <c r="H3594">
        <v>250</v>
      </c>
      <c r="I3594">
        <f t="shared" ref="I3594:I3657" si="1242">+G3594*H3594</f>
        <v>3125</v>
      </c>
      <c r="J3594" t="s">
        <v>167</v>
      </c>
      <c r="K3594">
        <v>219</v>
      </c>
      <c r="M3594">
        <f t="shared" si="1240"/>
        <v>2737.5</v>
      </c>
      <c r="N3594">
        <f t="shared" si="1241"/>
        <v>387.5</v>
      </c>
    </row>
    <row r="3595" spans="1:14" x14ac:dyDescent="0.25">
      <c r="A3595">
        <v>275</v>
      </c>
      <c r="B3595" s="1">
        <v>44126</v>
      </c>
      <c r="C3595" t="str">
        <f t="shared" si="1239"/>
        <v>octubre</v>
      </c>
      <c r="D3595" t="s">
        <v>55</v>
      </c>
      <c r="F3595" t="s">
        <v>22</v>
      </c>
      <c r="G3595">
        <v>2</v>
      </c>
      <c r="H3595">
        <v>300</v>
      </c>
      <c r="I3595">
        <f t="shared" si="1242"/>
        <v>600</v>
      </c>
      <c r="J3595" t="s">
        <v>167</v>
      </c>
      <c r="K3595">
        <v>268</v>
      </c>
      <c r="M3595">
        <f t="shared" si="1240"/>
        <v>536</v>
      </c>
      <c r="N3595">
        <f t="shared" si="1241"/>
        <v>64</v>
      </c>
    </row>
    <row r="3596" spans="1:14" x14ac:dyDescent="0.25">
      <c r="A3596">
        <v>276</v>
      </c>
      <c r="B3596" s="1">
        <v>44126</v>
      </c>
      <c r="C3596" t="str">
        <f t="shared" si="1239"/>
        <v>octubre</v>
      </c>
      <c r="D3596" t="s">
        <v>75</v>
      </c>
      <c r="F3596" t="s">
        <v>521</v>
      </c>
      <c r="G3596">
        <v>12</v>
      </c>
      <c r="H3596">
        <v>45</v>
      </c>
      <c r="I3596">
        <f t="shared" si="1242"/>
        <v>540</v>
      </c>
      <c r="J3596" t="s">
        <v>163</v>
      </c>
      <c r="K3596">
        <v>32</v>
      </c>
      <c r="M3596">
        <f t="shared" si="1240"/>
        <v>384</v>
      </c>
      <c r="N3596">
        <f t="shared" si="1241"/>
        <v>156</v>
      </c>
    </row>
    <row r="3597" spans="1:14" x14ac:dyDescent="0.25">
      <c r="A3597">
        <v>277</v>
      </c>
      <c r="B3597" s="1">
        <v>44126</v>
      </c>
      <c r="C3597" t="str">
        <f t="shared" si="1239"/>
        <v>octubre</v>
      </c>
      <c r="D3597" t="s">
        <v>15</v>
      </c>
      <c r="F3597" t="s">
        <v>517</v>
      </c>
      <c r="G3597">
        <v>2</v>
      </c>
      <c r="H3597">
        <v>250</v>
      </c>
      <c r="I3597">
        <f t="shared" si="1242"/>
        <v>500</v>
      </c>
      <c r="J3597" t="s">
        <v>167</v>
      </c>
      <c r="K3597">
        <v>219</v>
      </c>
      <c r="M3597">
        <f t="shared" si="1240"/>
        <v>438</v>
      </c>
      <c r="N3597">
        <f t="shared" si="1241"/>
        <v>62</v>
      </c>
    </row>
    <row r="3598" spans="1:14" x14ac:dyDescent="0.25">
      <c r="A3598">
        <v>278</v>
      </c>
      <c r="B3598" s="1">
        <v>44126</v>
      </c>
      <c r="C3598" t="str">
        <f t="shared" si="1239"/>
        <v>octubre</v>
      </c>
      <c r="D3598" t="s">
        <v>44</v>
      </c>
      <c r="F3598" t="s">
        <v>138</v>
      </c>
      <c r="G3598">
        <v>1</v>
      </c>
      <c r="H3598">
        <v>35</v>
      </c>
      <c r="I3598">
        <f t="shared" si="1242"/>
        <v>35</v>
      </c>
      <c r="J3598" t="s">
        <v>166</v>
      </c>
      <c r="K3598">
        <v>26</v>
      </c>
      <c r="M3598">
        <f t="shared" si="1240"/>
        <v>26</v>
      </c>
      <c r="N3598">
        <f t="shared" si="1241"/>
        <v>9</v>
      </c>
    </row>
    <row r="3599" spans="1:14" x14ac:dyDescent="0.25">
      <c r="A3599">
        <v>279</v>
      </c>
      <c r="B3599" s="1">
        <v>44126</v>
      </c>
      <c r="C3599" t="str">
        <f t="shared" si="1239"/>
        <v>octubre</v>
      </c>
      <c r="D3599" t="s">
        <v>75</v>
      </c>
      <c r="F3599" t="s">
        <v>521</v>
      </c>
      <c r="G3599">
        <v>23</v>
      </c>
      <c r="H3599">
        <v>45</v>
      </c>
      <c r="I3599">
        <f t="shared" si="1242"/>
        <v>1035</v>
      </c>
      <c r="J3599" t="s">
        <v>163</v>
      </c>
      <c r="K3599">
        <v>32</v>
      </c>
      <c r="M3599">
        <f t="shared" si="1240"/>
        <v>736</v>
      </c>
      <c r="N3599">
        <f t="shared" si="1241"/>
        <v>299</v>
      </c>
    </row>
    <row r="3600" spans="1:14" x14ac:dyDescent="0.25">
      <c r="A3600">
        <v>280</v>
      </c>
      <c r="B3600" s="1">
        <v>44126</v>
      </c>
      <c r="C3600" t="str">
        <f t="shared" si="1239"/>
        <v>octubre</v>
      </c>
      <c r="D3600" t="s">
        <v>25</v>
      </c>
      <c r="F3600" t="s">
        <v>58</v>
      </c>
      <c r="G3600">
        <v>1</v>
      </c>
      <c r="H3600">
        <v>60</v>
      </c>
      <c r="I3600">
        <f t="shared" si="1242"/>
        <v>60</v>
      </c>
      <c r="J3600" t="s">
        <v>165</v>
      </c>
      <c r="K3600">
        <v>34</v>
      </c>
      <c r="M3600">
        <f t="shared" si="1240"/>
        <v>34</v>
      </c>
      <c r="N3600">
        <f t="shared" si="1241"/>
        <v>26</v>
      </c>
    </row>
    <row r="3601" spans="1:14" x14ac:dyDescent="0.25">
      <c r="A3601">
        <v>281</v>
      </c>
      <c r="B3601" s="1">
        <v>44126</v>
      </c>
      <c r="C3601" t="str">
        <f t="shared" si="1239"/>
        <v>octubre</v>
      </c>
      <c r="D3601" t="s">
        <v>15</v>
      </c>
      <c r="F3601" t="s">
        <v>20</v>
      </c>
      <c r="G3601">
        <v>4</v>
      </c>
      <c r="H3601">
        <v>270</v>
      </c>
      <c r="I3601">
        <f t="shared" si="1242"/>
        <v>1080</v>
      </c>
      <c r="J3601" t="s">
        <v>163</v>
      </c>
      <c r="K3601">
        <v>232</v>
      </c>
      <c r="M3601">
        <f t="shared" si="1240"/>
        <v>928</v>
      </c>
      <c r="N3601">
        <f t="shared" si="1241"/>
        <v>152</v>
      </c>
    </row>
    <row r="3602" spans="1:14" x14ac:dyDescent="0.25">
      <c r="A3602">
        <v>282</v>
      </c>
      <c r="B3602" s="1">
        <v>44126</v>
      </c>
      <c r="C3602" t="str">
        <f t="shared" si="1239"/>
        <v>octubre</v>
      </c>
      <c r="D3602" t="s">
        <v>25</v>
      </c>
      <c r="F3602" t="s">
        <v>147</v>
      </c>
      <c r="G3602">
        <v>4</v>
      </c>
      <c r="H3602">
        <v>60</v>
      </c>
      <c r="I3602">
        <f t="shared" si="1242"/>
        <v>240</v>
      </c>
      <c r="J3602" t="s">
        <v>165</v>
      </c>
      <c r="K3602">
        <v>34</v>
      </c>
      <c r="M3602">
        <f t="shared" si="1240"/>
        <v>136</v>
      </c>
      <c r="N3602">
        <f t="shared" si="1241"/>
        <v>104</v>
      </c>
    </row>
    <row r="3603" spans="1:14" x14ac:dyDescent="0.25">
      <c r="A3603">
        <v>283</v>
      </c>
      <c r="B3603" s="1">
        <v>44127</v>
      </c>
      <c r="C3603" t="str">
        <f t="shared" si="1239"/>
        <v>octubre</v>
      </c>
      <c r="D3603" t="s">
        <v>15</v>
      </c>
      <c r="F3603" t="s">
        <v>490</v>
      </c>
      <c r="G3603">
        <v>18</v>
      </c>
      <c r="H3603">
        <v>240</v>
      </c>
      <c r="I3603">
        <f t="shared" si="1242"/>
        <v>4320</v>
      </c>
      <c r="J3603" t="s">
        <v>167</v>
      </c>
      <c r="K3603">
        <v>207</v>
      </c>
      <c r="M3603">
        <f t="shared" si="1240"/>
        <v>3726</v>
      </c>
      <c r="N3603">
        <f t="shared" si="1241"/>
        <v>594</v>
      </c>
    </row>
    <row r="3604" spans="1:14" x14ac:dyDescent="0.25">
      <c r="A3604">
        <v>284</v>
      </c>
      <c r="B3604" s="1">
        <v>44127</v>
      </c>
      <c r="C3604" t="str">
        <f t="shared" si="1239"/>
        <v>octubre</v>
      </c>
      <c r="D3604" t="s">
        <v>25</v>
      </c>
      <c r="F3604" t="s">
        <v>127</v>
      </c>
      <c r="G3604">
        <v>2</v>
      </c>
      <c r="H3604">
        <v>60</v>
      </c>
      <c r="I3604">
        <f t="shared" si="1242"/>
        <v>120</v>
      </c>
      <c r="J3604" t="s">
        <v>165</v>
      </c>
      <c r="K3604">
        <v>34</v>
      </c>
      <c r="M3604">
        <f t="shared" si="1240"/>
        <v>68</v>
      </c>
      <c r="N3604">
        <f t="shared" si="1241"/>
        <v>52</v>
      </c>
    </row>
    <row r="3605" spans="1:14" x14ac:dyDescent="0.25">
      <c r="A3605">
        <v>285</v>
      </c>
      <c r="B3605" s="1">
        <v>44127</v>
      </c>
      <c r="C3605" t="str">
        <f t="shared" si="1239"/>
        <v>octubre</v>
      </c>
      <c r="D3605" t="s">
        <v>15</v>
      </c>
      <c r="F3605" t="s">
        <v>481</v>
      </c>
      <c r="G3605">
        <v>1.5</v>
      </c>
      <c r="H3605">
        <v>250</v>
      </c>
      <c r="I3605">
        <f t="shared" si="1242"/>
        <v>375</v>
      </c>
      <c r="J3605" t="s">
        <v>163</v>
      </c>
      <c r="K3605">
        <v>220</v>
      </c>
      <c r="M3605">
        <f t="shared" si="1240"/>
        <v>330</v>
      </c>
      <c r="N3605">
        <f t="shared" si="1241"/>
        <v>45</v>
      </c>
    </row>
    <row r="3606" spans="1:14" x14ac:dyDescent="0.25">
      <c r="A3606">
        <v>286</v>
      </c>
      <c r="B3606" s="1">
        <v>44127</v>
      </c>
      <c r="C3606" t="str">
        <f t="shared" si="1239"/>
        <v>octubre</v>
      </c>
      <c r="D3606" t="s">
        <v>15</v>
      </c>
      <c r="F3606" t="s">
        <v>490</v>
      </c>
      <c r="G3606">
        <v>13</v>
      </c>
      <c r="H3606">
        <v>240</v>
      </c>
      <c r="I3606">
        <f t="shared" si="1242"/>
        <v>3120</v>
      </c>
      <c r="J3606" t="s">
        <v>167</v>
      </c>
      <c r="K3606">
        <v>207</v>
      </c>
      <c r="M3606">
        <f t="shared" si="1240"/>
        <v>2691</v>
      </c>
      <c r="N3606">
        <f t="shared" si="1241"/>
        <v>429</v>
      </c>
    </row>
    <row r="3607" spans="1:14" x14ac:dyDescent="0.25">
      <c r="A3607">
        <v>287</v>
      </c>
      <c r="B3607" s="1">
        <v>44127</v>
      </c>
      <c r="C3607" t="str">
        <f t="shared" si="1239"/>
        <v>octubre</v>
      </c>
      <c r="D3607" t="s">
        <v>56</v>
      </c>
      <c r="F3607" t="s">
        <v>236</v>
      </c>
      <c r="G3607">
        <v>6</v>
      </c>
      <c r="H3607">
        <v>120</v>
      </c>
      <c r="I3607">
        <f t="shared" si="1242"/>
        <v>720</v>
      </c>
      <c r="J3607" t="s">
        <v>165</v>
      </c>
      <c r="K3607">
        <v>83</v>
      </c>
      <c r="M3607">
        <f t="shared" si="1240"/>
        <v>498</v>
      </c>
      <c r="N3607">
        <f t="shared" si="1241"/>
        <v>222</v>
      </c>
    </row>
    <row r="3608" spans="1:14" x14ac:dyDescent="0.25">
      <c r="A3608">
        <v>288</v>
      </c>
      <c r="B3608" s="1">
        <v>44127</v>
      </c>
      <c r="C3608" t="str">
        <f t="shared" si="1239"/>
        <v>octubre</v>
      </c>
      <c r="D3608" t="s">
        <v>26</v>
      </c>
      <c r="F3608" t="s">
        <v>522</v>
      </c>
      <c r="G3608">
        <f>5/4*1.44</f>
        <v>1.7999999999999998</v>
      </c>
      <c r="H3608">
        <v>425</v>
      </c>
      <c r="I3608">
        <f t="shared" si="1242"/>
        <v>764.99999999999989</v>
      </c>
      <c r="J3608" t="s">
        <v>167</v>
      </c>
      <c r="K3608">
        <v>350</v>
      </c>
      <c r="M3608">
        <f t="shared" si="1240"/>
        <v>629.99999999999989</v>
      </c>
      <c r="N3608">
        <f t="shared" si="1241"/>
        <v>135</v>
      </c>
    </row>
    <row r="3609" spans="1:14" x14ac:dyDescent="0.25">
      <c r="A3609">
        <v>289</v>
      </c>
      <c r="B3609" s="1">
        <v>44127</v>
      </c>
      <c r="C3609" t="str">
        <f t="shared" si="1239"/>
        <v>octubre</v>
      </c>
      <c r="D3609" t="s">
        <v>15</v>
      </c>
      <c r="F3609" t="s">
        <v>523</v>
      </c>
      <c r="G3609">
        <f>3/9</f>
        <v>0.33333333333333331</v>
      </c>
      <c r="H3609">
        <v>300</v>
      </c>
      <c r="I3609">
        <f t="shared" si="1242"/>
        <v>100</v>
      </c>
      <c r="J3609" t="s">
        <v>167</v>
      </c>
      <c r="K3609">
        <v>268</v>
      </c>
      <c r="M3609">
        <f t="shared" si="1240"/>
        <v>89.333333333333329</v>
      </c>
      <c r="N3609">
        <f t="shared" si="1241"/>
        <v>10.666666666666671</v>
      </c>
    </row>
    <row r="3610" spans="1:14" x14ac:dyDescent="0.25">
      <c r="A3610">
        <v>290</v>
      </c>
      <c r="B3610" s="1">
        <v>44127</v>
      </c>
      <c r="C3610" t="str">
        <f t="shared" si="1239"/>
        <v>octubre</v>
      </c>
      <c r="D3610" t="s">
        <v>75</v>
      </c>
      <c r="F3610" t="s">
        <v>521</v>
      </c>
      <c r="G3610">
        <v>6</v>
      </c>
      <c r="H3610">
        <v>45</v>
      </c>
      <c r="I3610">
        <f t="shared" si="1242"/>
        <v>270</v>
      </c>
      <c r="J3610" t="s">
        <v>163</v>
      </c>
      <c r="K3610">
        <v>32</v>
      </c>
      <c r="M3610">
        <f t="shared" si="1240"/>
        <v>192</v>
      </c>
      <c r="N3610">
        <f t="shared" si="1241"/>
        <v>78</v>
      </c>
    </row>
    <row r="3611" spans="1:14" x14ac:dyDescent="0.25">
      <c r="A3611">
        <v>291</v>
      </c>
      <c r="B3611" s="1">
        <v>44127</v>
      </c>
      <c r="C3611" t="str">
        <f t="shared" si="1239"/>
        <v>octubre</v>
      </c>
      <c r="D3611" t="s">
        <v>85</v>
      </c>
      <c r="F3611" t="s">
        <v>355</v>
      </c>
      <c r="G3611">
        <v>1</v>
      </c>
      <c r="H3611">
        <v>100</v>
      </c>
      <c r="I3611">
        <f t="shared" si="1242"/>
        <v>100</v>
      </c>
      <c r="J3611" t="s">
        <v>198</v>
      </c>
      <c r="K3611">
        <v>75</v>
      </c>
      <c r="M3611">
        <f t="shared" si="1240"/>
        <v>75</v>
      </c>
      <c r="N3611">
        <f t="shared" si="1241"/>
        <v>25</v>
      </c>
    </row>
    <row r="3612" spans="1:14" x14ac:dyDescent="0.25">
      <c r="A3612">
        <v>292</v>
      </c>
      <c r="B3612" s="1">
        <v>44127</v>
      </c>
      <c r="C3612" t="str">
        <f t="shared" si="1239"/>
        <v>octubre</v>
      </c>
      <c r="D3612" t="s">
        <v>55</v>
      </c>
      <c r="F3612" t="s">
        <v>524</v>
      </c>
      <c r="G3612">
        <v>6</v>
      </c>
      <c r="H3612">
        <v>300</v>
      </c>
      <c r="I3612">
        <f t="shared" si="1242"/>
        <v>1800</v>
      </c>
      <c r="J3612" t="s">
        <v>167</v>
      </c>
      <c r="K3612">
        <v>268</v>
      </c>
      <c r="M3612">
        <f t="shared" si="1240"/>
        <v>1608</v>
      </c>
      <c r="N3612">
        <f t="shared" si="1241"/>
        <v>192</v>
      </c>
    </row>
    <row r="3613" spans="1:14" x14ac:dyDescent="0.25">
      <c r="A3613">
        <v>293</v>
      </c>
      <c r="B3613" s="1">
        <v>44127</v>
      </c>
      <c r="C3613" t="str">
        <f t="shared" si="1239"/>
        <v>octubre</v>
      </c>
      <c r="D3613" t="s">
        <v>56</v>
      </c>
      <c r="F3613" t="s">
        <v>236</v>
      </c>
      <c r="G3613">
        <v>6</v>
      </c>
      <c r="H3613">
        <v>120</v>
      </c>
      <c r="I3613">
        <f t="shared" si="1242"/>
        <v>720</v>
      </c>
      <c r="J3613" t="s">
        <v>165</v>
      </c>
      <c r="K3613">
        <v>83</v>
      </c>
      <c r="M3613">
        <f t="shared" si="1240"/>
        <v>498</v>
      </c>
      <c r="N3613">
        <f t="shared" si="1241"/>
        <v>222</v>
      </c>
    </row>
    <row r="3614" spans="1:14" x14ac:dyDescent="0.25">
      <c r="A3614">
        <v>294</v>
      </c>
      <c r="B3614" s="1">
        <v>44127</v>
      </c>
      <c r="C3614" t="str">
        <f t="shared" ref="C3614:C3677" si="1243">+TEXT(B3614,"mmmm")</f>
        <v>octubre</v>
      </c>
      <c r="D3614" t="s">
        <v>15</v>
      </c>
      <c r="F3614" t="s">
        <v>110</v>
      </c>
      <c r="G3614">
        <v>13</v>
      </c>
      <c r="H3614">
        <v>295</v>
      </c>
      <c r="I3614">
        <f t="shared" si="1242"/>
        <v>3835</v>
      </c>
      <c r="J3614" t="s">
        <v>167</v>
      </c>
      <c r="K3614">
        <v>268</v>
      </c>
      <c r="M3614">
        <f t="shared" si="1240"/>
        <v>3484</v>
      </c>
      <c r="N3614">
        <f t="shared" si="1241"/>
        <v>351</v>
      </c>
    </row>
    <row r="3615" spans="1:14" x14ac:dyDescent="0.25">
      <c r="A3615">
        <v>295</v>
      </c>
      <c r="B3615" s="1">
        <v>44127</v>
      </c>
      <c r="C3615" t="str">
        <f t="shared" si="1243"/>
        <v>octubre</v>
      </c>
      <c r="D3615" t="s">
        <v>55</v>
      </c>
      <c r="F3615" t="s">
        <v>39</v>
      </c>
      <c r="G3615">
        <f>8/17</f>
        <v>0.47058823529411764</v>
      </c>
      <c r="H3615">
        <v>300</v>
      </c>
      <c r="I3615">
        <f t="shared" si="1242"/>
        <v>141.1764705882353</v>
      </c>
      <c r="J3615" t="s">
        <v>167</v>
      </c>
      <c r="K3615">
        <v>268</v>
      </c>
      <c r="M3615">
        <f t="shared" si="1240"/>
        <v>126.11764705882352</v>
      </c>
      <c r="N3615">
        <f t="shared" si="1241"/>
        <v>15.058823529411782</v>
      </c>
    </row>
    <row r="3616" spans="1:14" x14ac:dyDescent="0.25">
      <c r="A3616">
        <v>296</v>
      </c>
      <c r="B3616" s="1">
        <v>44127</v>
      </c>
      <c r="C3616" t="str">
        <f t="shared" si="1243"/>
        <v>octubre</v>
      </c>
      <c r="D3616" t="s">
        <v>15</v>
      </c>
      <c r="F3616" t="s">
        <v>397</v>
      </c>
      <c r="G3616">
        <v>2</v>
      </c>
      <c r="H3616">
        <v>250</v>
      </c>
      <c r="I3616">
        <f t="shared" si="1242"/>
        <v>500</v>
      </c>
      <c r="J3616" t="s">
        <v>167</v>
      </c>
      <c r="K3616">
        <v>219</v>
      </c>
      <c r="M3616">
        <f t="shared" si="1240"/>
        <v>438</v>
      </c>
      <c r="N3616">
        <f t="shared" si="1241"/>
        <v>62</v>
      </c>
    </row>
    <row r="3617" spans="1:14" x14ac:dyDescent="0.25">
      <c r="A3617">
        <v>297</v>
      </c>
      <c r="B3617" s="1">
        <v>44128</v>
      </c>
      <c r="C3617" t="str">
        <f t="shared" si="1243"/>
        <v>octubre</v>
      </c>
      <c r="D3617" t="s">
        <v>44</v>
      </c>
      <c r="F3617" t="s">
        <v>138</v>
      </c>
      <c r="G3617">
        <v>1</v>
      </c>
      <c r="H3617">
        <v>35</v>
      </c>
      <c r="I3617">
        <f t="shared" si="1242"/>
        <v>35</v>
      </c>
      <c r="J3617" t="s">
        <v>166</v>
      </c>
      <c r="K3617">
        <v>26</v>
      </c>
      <c r="M3617">
        <f t="shared" si="1240"/>
        <v>26</v>
      </c>
      <c r="N3617">
        <f t="shared" si="1241"/>
        <v>9</v>
      </c>
    </row>
    <row r="3618" spans="1:14" x14ac:dyDescent="0.25">
      <c r="A3618">
        <v>298</v>
      </c>
      <c r="B3618" s="1">
        <v>44128</v>
      </c>
      <c r="C3618" t="str">
        <f t="shared" si="1243"/>
        <v>octubre</v>
      </c>
      <c r="D3618" t="s">
        <v>25</v>
      </c>
      <c r="F3618" t="s">
        <v>147</v>
      </c>
      <c r="G3618">
        <v>2</v>
      </c>
      <c r="H3618">
        <v>60</v>
      </c>
      <c r="I3618">
        <f t="shared" si="1242"/>
        <v>120</v>
      </c>
      <c r="J3618" t="s">
        <v>165</v>
      </c>
      <c r="K3618">
        <v>34</v>
      </c>
      <c r="M3618">
        <f t="shared" si="1240"/>
        <v>68</v>
      </c>
      <c r="N3618">
        <f t="shared" si="1241"/>
        <v>52</v>
      </c>
    </row>
    <row r="3619" spans="1:14" x14ac:dyDescent="0.25">
      <c r="A3619">
        <v>299</v>
      </c>
      <c r="B3619" s="1">
        <v>44128</v>
      </c>
      <c r="C3619" t="str">
        <f t="shared" si="1243"/>
        <v>octubre</v>
      </c>
      <c r="D3619" t="s">
        <v>25</v>
      </c>
      <c r="F3619" t="s">
        <v>57</v>
      </c>
      <c r="G3619">
        <v>3</v>
      </c>
      <c r="H3619">
        <v>60</v>
      </c>
      <c r="I3619">
        <f t="shared" si="1242"/>
        <v>180</v>
      </c>
      <c r="J3619" t="s">
        <v>165</v>
      </c>
      <c r="K3619">
        <v>34</v>
      </c>
      <c r="M3619">
        <f t="shared" si="1240"/>
        <v>102</v>
      </c>
      <c r="N3619">
        <f t="shared" si="1241"/>
        <v>78</v>
      </c>
    </row>
    <row r="3620" spans="1:14" x14ac:dyDescent="0.25">
      <c r="A3620">
        <v>300</v>
      </c>
      <c r="B3620" s="1">
        <v>44128</v>
      </c>
      <c r="C3620" t="str">
        <f t="shared" si="1243"/>
        <v>octubre</v>
      </c>
      <c r="D3620" t="s">
        <v>25</v>
      </c>
      <c r="F3620" t="s">
        <v>148</v>
      </c>
      <c r="G3620">
        <v>1</v>
      </c>
      <c r="H3620">
        <v>60</v>
      </c>
      <c r="I3620">
        <f t="shared" si="1242"/>
        <v>60</v>
      </c>
      <c r="J3620" t="s">
        <v>165</v>
      </c>
      <c r="K3620">
        <v>34</v>
      </c>
      <c r="M3620">
        <f t="shared" si="1240"/>
        <v>34</v>
      </c>
      <c r="N3620">
        <f t="shared" si="1241"/>
        <v>26</v>
      </c>
    </row>
    <row r="3621" spans="1:14" x14ac:dyDescent="0.25">
      <c r="A3621">
        <v>301</v>
      </c>
      <c r="B3621" s="1">
        <v>44128</v>
      </c>
      <c r="C3621" t="str">
        <f t="shared" si="1243"/>
        <v>octubre</v>
      </c>
      <c r="D3621" t="s">
        <v>92</v>
      </c>
      <c r="F3621" t="s">
        <v>98</v>
      </c>
      <c r="G3621">
        <v>1</v>
      </c>
      <c r="H3621">
        <v>140</v>
      </c>
      <c r="I3621">
        <f t="shared" si="1242"/>
        <v>140</v>
      </c>
      <c r="J3621" t="s">
        <v>166</v>
      </c>
      <c r="K3621">
        <v>100</v>
      </c>
      <c r="M3621">
        <f t="shared" si="1240"/>
        <v>100</v>
      </c>
      <c r="N3621">
        <f t="shared" si="1241"/>
        <v>40</v>
      </c>
    </row>
    <row r="3622" spans="1:14" x14ac:dyDescent="0.25">
      <c r="A3622">
        <v>302</v>
      </c>
      <c r="B3622" s="1">
        <v>44128</v>
      </c>
      <c r="C3622" t="str">
        <f t="shared" si="1243"/>
        <v>octubre</v>
      </c>
      <c r="D3622" t="s">
        <v>92</v>
      </c>
      <c r="F3622" t="s">
        <v>275</v>
      </c>
      <c r="G3622">
        <v>1</v>
      </c>
      <c r="H3622">
        <v>170</v>
      </c>
      <c r="I3622">
        <f t="shared" si="1242"/>
        <v>170</v>
      </c>
      <c r="J3622" t="s">
        <v>166</v>
      </c>
      <c r="K3622">
        <v>125</v>
      </c>
      <c r="M3622">
        <f t="shared" si="1240"/>
        <v>125</v>
      </c>
      <c r="N3622">
        <f t="shared" si="1241"/>
        <v>45</v>
      </c>
    </row>
    <row r="3623" spans="1:14" x14ac:dyDescent="0.25">
      <c r="A3623">
        <v>303</v>
      </c>
      <c r="B3623" s="1">
        <v>44128</v>
      </c>
      <c r="C3623" t="str">
        <f t="shared" si="1243"/>
        <v>octubre</v>
      </c>
      <c r="D3623" t="s">
        <v>15</v>
      </c>
      <c r="F3623" t="s">
        <v>29</v>
      </c>
      <c r="G3623">
        <v>3</v>
      </c>
      <c r="H3623">
        <v>240</v>
      </c>
      <c r="I3623">
        <f t="shared" si="1242"/>
        <v>720</v>
      </c>
      <c r="J3623" t="s">
        <v>163</v>
      </c>
      <c r="K3623">
        <v>212</v>
      </c>
      <c r="M3623">
        <f t="shared" si="1240"/>
        <v>636</v>
      </c>
      <c r="N3623">
        <f t="shared" si="1241"/>
        <v>84</v>
      </c>
    </row>
    <row r="3624" spans="1:14" x14ac:dyDescent="0.25">
      <c r="A3624">
        <v>304</v>
      </c>
      <c r="B3624" s="1">
        <v>44128</v>
      </c>
      <c r="C3624" t="str">
        <f t="shared" si="1243"/>
        <v>octubre</v>
      </c>
      <c r="D3624" t="s">
        <v>15</v>
      </c>
      <c r="F3624" t="s">
        <v>397</v>
      </c>
      <c r="G3624">
        <v>2</v>
      </c>
      <c r="H3624">
        <v>250</v>
      </c>
      <c r="I3624">
        <f t="shared" si="1242"/>
        <v>500</v>
      </c>
      <c r="J3624" t="s">
        <v>167</v>
      </c>
      <c r="K3624">
        <v>219</v>
      </c>
      <c r="M3624">
        <f t="shared" si="1240"/>
        <v>438</v>
      </c>
      <c r="N3624">
        <f t="shared" si="1241"/>
        <v>62</v>
      </c>
    </row>
    <row r="3625" spans="1:14" x14ac:dyDescent="0.25">
      <c r="A3625">
        <v>305</v>
      </c>
      <c r="B3625" s="1">
        <v>44128</v>
      </c>
      <c r="C3625" t="str">
        <f t="shared" si="1243"/>
        <v>octubre</v>
      </c>
      <c r="D3625" t="s">
        <v>15</v>
      </c>
      <c r="F3625" t="s">
        <v>54</v>
      </c>
      <c r="G3625">
        <v>11</v>
      </c>
      <c r="H3625">
        <v>265</v>
      </c>
      <c r="I3625">
        <f t="shared" si="1242"/>
        <v>2915</v>
      </c>
      <c r="J3625" t="s">
        <v>163</v>
      </c>
      <c r="K3625">
        <v>242</v>
      </c>
      <c r="M3625">
        <f t="shared" si="1240"/>
        <v>2662</v>
      </c>
      <c r="N3625">
        <f t="shared" si="1241"/>
        <v>253</v>
      </c>
    </row>
    <row r="3626" spans="1:14" x14ac:dyDescent="0.25">
      <c r="A3626">
        <v>306</v>
      </c>
      <c r="B3626" s="1">
        <v>44128</v>
      </c>
      <c r="C3626" t="str">
        <f t="shared" si="1243"/>
        <v>octubre</v>
      </c>
      <c r="D3626" t="s">
        <v>56</v>
      </c>
      <c r="F3626" t="s">
        <v>267</v>
      </c>
      <c r="G3626">
        <v>3</v>
      </c>
      <c r="H3626">
        <v>170</v>
      </c>
      <c r="I3626">
        <f t="shared" si="1242"/>
        <v>510</v>
      </c>
      <c r="J3626" t="s">
        <v>163</v>
      </c>
      <c r="K3626">
        <v>125</v>
      </c>
      <c r="M3626">
        <f t="shared" si="1240"/>
        <v>375</v>
      </c>
      <c r="N3626">
        <f t="shared" si="1241"/>
        <v>135</v>
      </c>
    </row>
    <row r="3627" spans="1:14" x14ac:dyDescent="0.25">
      <c r="A3627">
        <v>307</v>
      </c>
      <c r="B3627" s="1">
        <v>44128</v>
      </c>
      <c r="C3627" t="str">
        <f t="shared" si="1243"/>
        <v>octubre</v>
      </c>
      <c r="D3627" t="s">
        <v>25</v>
      </c>
      <c r="F3627" t="s">
        <v>127</v>
      </c>
      <c r="G3627">
        <v>2</v>
      </c>
      <c r="H3627">
        <v>60</v>
      </c>
      <c r="I3627">
        <f t="shared" si="1242"/>
        <v>120</v>
      </c>
      <c r="J3627" t="s">
        <v>165</v>
      </c>
      <c r="K3627">
        <v>34</v>
      </c>
      <c r="M3627">
        <f t="shared" ref="M3627:M3690" si="1244">+IF(K3627=0,(""),(K3627*G3627))</f>
        <v>68</v>
      </c>
      <c r="N3627">
        <f t="shared" ref="N3627:N3690" si="1245">+IF(K3627=0,(""),(I3627-M3627))</f>
        <v>52</v>
      </c>
    </row>
    <row r="3628" spans="1:14" x14ac:dyDescent="0.25">
      <c r="A3628">
        <v>308</v>
      </c>
      <c r="B3628" s="1">
        <v>44128</v>
      </c>
      <c r="C3628" t="str">
        <f t="shared" si="1243"/>
        <v>octubre</v>
      </c>
      <c r="D3628" t="s">
        <v>55</v>
      </c>
      <c r="F3628" t="s">
        <v>399</v>
      </c>
      <c r="G3628">
        <f>4/17</f>
        <v>0.23529411764705882</v>
      </c>
      <c r="H3628">
        <v>300</v>
      </c>
      <c r="I3628">
        <f t="shared" si="1242"/>
        <v>70.588235294117652</v>
      </c>
      <c r="J3628" t="s">
        <v>167</v>
      </c>
      <c r="K3628">
        <v>268</v>
      </c>
      <c r="M3628">
        <f t="shared" si="1244"/>
        <v>63.058823529411761</v>
      </c>
      <c r="N3628">
        <f t="shared" si="1245"/>
        <v>7.5294117647058911</v>
      </c>
    </row>
    <row r="3629" spans="1:14" x14ac:dyDescent="0.25">
      <c r="A3629">
        <v>309</v>
      </c>
      <c r="B3629" s="1">
        <v>44128</v>
      </c>
      <c r="C3629" t="str">
        <f t="shared" si="1243"/>
        <v>octubre</v>
      </c>
      <c r="D3629" t="s">
        <v>15</v>
      </c>
      <c r="F3629" t="s">
        <v>525</v>
      </c>
      <c r="G3629">
        <v>5</v>
      </c>
      <c r="H3629">
        <v>250</v>
      </c>
      <c r="I3629">
        <f t="shared" si="1242"/>
        <v>1250</v>
      </c>
      <c r="J3629" t="s">
        <v>167</v>
      </c>
      <c r="K3629">
        <v>219</v>
      </c>
      <c r="M3629">
        <f t="shared" si="1244"/>
        <v>1095</v>
      </c>
      <c r="N3629">
        <f t="shared" si="1245"/>
        <v>155</v>
      </c>
    </row>
    <row r="3630" spans="1:14" x14ac:dyDescent="0.25">
      <c r="A3630">
        <v>310</v>
      </c>
      <c r="B3630" s="1">
        <v>44128</v>
      </c>
      <c r="C3630" t="str">
        <f t="shared" si="1243"/>
        <v>octubre</v>
      </c>
      <c r="D3630" t="s">
        <v>78</v>
      </c>
      <c r="F3630" t="s">
        <v>207</v>
      </c>
      <c r="G3630">
        <v>1</v>
      </c>
      <c r="H3630">
        <v>1000</v>
      </c>
      <c r="I3630">
        <f t="shared" si="1242"/>
        <v>1000</v>
      </c>
      <c r="J3630" t="s">
        <v>198</v>
      </c>
      <c r="K3630">
        <v>750</v>
      </c>
      <c r="M3630">
        <f t="shared" si="1244"/>
        <v>750</v>
      </c>
      <c r="N3630">
        <f t="shared" si="1245"/>
        <v>250</v>
      </c>
    </row>
    <row r="3631" spans="1:14" x14ac:dyDescent="0.25">
      <c r="A3631">
        <v>311</v>
      </c>
      <c r="B3631" s="1">
        <v>44128</v>
      </c>
      <c r="C3631" t="str">
        <f t="shared" si="1243"/>
        <v>octubre</v>
      </c>
      <c r="D3631" t="s">
        <v>78</v>
      </c>
      <c r="F3631" t="s">
        <v>526</v>
      </c>
      <c r="G3631">
        <v>1</v>
      </c>
      <c r="H3631">
        <v>170</v>
      </c>
      <c r="I3631">
        <f t="shared" si="1242"/>
        <v>170</v>
      </c>
      <c r="J3631" t="s">
        <v>166</v>
      </c>
      <c r="M3631" t="str">
        <f t="shared" si="1244"/>
        <v/>
      </c>
      <c r="N3631" t="str">
        <f t="shared" si="1245"/>
        <v/>
      </c>
    </row>
    <row r="3632" spans="1:14" x14ac:dyDescent="0.25">
      <c r="A3632">
        <v>312</v>
      </c>
      <c r="B3632" s="1">
        <v>44130</v>
      </c>
      <c r="C3632" t="str">
        <f t="shared" si="1243"/>
        <v>octubre</v>
      </c>
      <c r="D3632" t="s">
        <v>25</v>
      </c>
      <c r="F3632" t="s">
        <v>506</v>
      </c>
      <c r="G3632">
        <v>1</v>
      </c>
      <c r="H3632">
        <v>60</v>
      </c>
      <c r="I3632">
        <f t="shared" si="1242"/>
        <v>60</v>
      </c>
      <c r="J3632" t="s">
        <v>165</v>
      </c>
      <c r="K3632">
        <v>34</v>
      </c>
      <c r="M3632">
        <f t="shared" si="1244"/>
        <v>34</v>
      </c>
      <c r="N3632">
        <f t="shared" si="1245"/>
        <v>26</v>
      </c>
    </row>
    <row r="3633" spans="1:14" x14ac:dyDescent="0.25">
      <c r="A3633">
        <v>313</v>
      </c>
      <c r="B3633" s="1">
        <v>44130</v>
      </c>
      <c r="C3633" t="str">
        <f t="shared" si="1243"/>
        <v>octubre</v>
      </c>
      <c r="D3633" t="s">
        <v>92</v>
      </c>
      <c r="F3633" t="s">
        <v>354</v>
      </c>
      <c r="G3633">
        <v>1</v>
      </c>
      <c r="H3633">
        <v>150</v>
      </c>
      <c r="I3633">
        <f t="shared" si="1242"/>
        <v>150</v>
      </c>
      <c r="J3633" t="s">
        <v>166</v>
      </c>
      <c r="K3633">
        <v>100</v>
      </c>
      <c r="M3633">
        <f t="shared" si="1244"/>
        <v>100</v>
      </c>
      <c r="N3633">
        <f t="shared" si="1245"/>
        <v>50</v>
      </c>
    </row>
    <row r="3634" spans="1:14" x14ac:dyDescent="0.25">
      <c r="A3634">
        <v>314</v>
      </c>
      <c r="B3634" s="1">
        <v>44130</v>
      </c>
      <c r="C3634" t="str">
        <f t="shared" si="1243"/>
        <v>octubre</v>
      </c>
      <c r="D3634" t="s">
        <v>25</v>
      </c>
      <c r="F3634" t="s">
        <v>148</v>
      </c>
      <c r="G3634">
        <v>1</v>
      </c>
      <c r="H3634">
        <v>60</v>
      </c>
      <c r="I3634">
        <f t="shared" si="1242"/>
        <v>60</v>
      </c>
      <c r="J3634" t="s">
        <v>165</v>
      </c>
      <c r="K3634">
        <v>34</v>
      </c>
      <c r="M3634">
        <f t="shared" si="1244"/>
        <v>34</v>
      </c>
      <c r="N3634">
        <f t="shared" si="1245"/>
        <v>26</v>
      </c>
    </row>
    <row r="3635" spans="1:14" x14ac:dyDescent="0.25">
      <c r="A3635">
        <v>315</v>
      </c>
      <c r="B3635" s="1">
        <v>44130</v>
      </c>
      <c r="C3635" t="str">
        <f t="shared" si="1243"/>
        <v>octubre</v>
      </c>
      <c r="D3635" t="s">
        <v>15</v>
      </c>
      <c r="F3635" t="s">
        <v>489</v>
      </c>
      <c r="G3635">
        <v>2</v>
      </c>
      <c r="H3635">
        <v>240</v>
      </c>
      <c r="I3635">
        <f t="shared" si="1242"/>
        <v>480</v>
      </c>
      <c r="J3635" t="s">
        <v>167</v>
      </c>
      <c r="K3635">
        <v>207</v>
      </c>
      <c r="M3635">
        <f t="shared" si="1244"/>
        <v>414</v>
      </c>
      <c r="N3635">
        <f t="shared" si="1245"/>
        <v>66</v>
      </c>
    </row>
    <row r="3636" spans="1:14" x14ac:dyDescent="0.25">
      <c r="A3636">
        <v>316</v>
      </c>
      <c r="B3636" s="1">
        <v>44130</v>
      </c>
      <c r="C3636" t="str">
        <f t="shared" si="1243"/>
        <v>octubre</v>
      </c>
      <c r="D3636" t="s">
        <v>15</v>
      </c>
      <c r="F3636" t="s">
        <v>421</v>
      </c>
      <c r="G3636">
        <v>5.5</v>
      </c>
      <c r="H3636">
        <v>290</v>
      </c>
      <c r="I3636">
        <f t="shared" si="1242"/>
        <v>1595</v>
      </c>
      <c r="J3636" t="s">
        <v>167</v>
      </c>
      <c r="K3636">
        <v>253</v>
      </c>
      <c r="M3636">
        <f t="shared" si="1244"/>
        <v>1391.5</v>
      </c>
      <c r="N3636">
        <f t="shared" si="1245"/>
        <v>203.5</v>
      </c>
    </row>
    <row r="3637" spans="1:14" x14ac:dyDescent="0.25">
      <c r="A3637">
        <v>317</v>
      </c>
      <c r="B3637" s="1">
        <v>44130</v>
      </c>
      <c r="C3637" t="str">
        <f t="shared" si="1243"/>
        <v>octubre</v>
      </c>
      <c r="D3637" t="s">
        <v>25</v>
      </c>
      <c r="F3637" t="s">
        <v>218</v>
      </c>
      <c r="G3637">
        <v>1</v>
      </c>
      <c r="H3637">
        <v>100</v>
      </c>
      <c r="I3637">
        <f t="shared" si="1242"/>
        <v>100</v>
      </c>
      <c r="J3637" t="s">
        <v>163</v>
      </c>
      <c r="K3637">
        <v>80</v>
      </c>
      <c r="M3637">
        <f t="shared" si="1244"/>
        <v>80</v>
      </c>
      <c r="N3637">
        <f t="shared" si="1245"/>
        <v>20</v>
      </c>
    </row>
    <row r="3638" spans="1:14" x14ac:dyDescent="0.25">
      <c r="A3638">
        <v>318</v>
      </c>
      <c r="B3638" s="1">
        <v>44130</v>
      </c>
      <c r="C3638" t="str">
        <f t="shared" si="1243"/>
        <v>octubre</v>
      </c>
      <c r="D3638" t="s">
        <v>44</v>
      </c>
      <c r="F3638" t="s">
        <v>382</v>
      </c>
      <c r="G3638">
        <v>1</v>
      </c>
      <c r="H3638">
        <v>35</v>
      </c>
      <c r="I3638">
        <f t="shared" si="1242"/>
        <v>35</v>
      </c>
      <c r="J3638" t="s">
        <v>166</v>
      </c>
      <c r="K3638">
        <v>22</v>
      </c>
      <c r="M3638">
        <f t="shared" si="1244"/>
        <v>22</v>
      </c>
      <c r="N3638">
        <f t="shared" si="1245"/>
        <v>13</v>
      </c>
    </row>
    <row r="3639" spans="1:14" x14ac:dyDescent="0.25">
      <c r="A3639">
        <v>319</v>
      </c>
      <c r="B3639" s="1">
        <v>44130</v>
      </c>
      <c r="C3639" t="str">
        <f t="shared" si="1243"/>
        <v>octubre</v>
      </c>
      <c r="D3639" t="s">
        <v>25</v>
      </c>
      <c r="F3639" t="s">
        <v>218</v>
      </c>
      <c r="G3639">
        <v>1</v>
      </c>
      <c r="H3639">
        <v>100</v>
      </c>
      <c r="I3639">
        <f t="shared" si="1242"/>
        <v>100</v>
      </c>
      <c r="J3639" t="s">
        <v>163</v>
      </c>
      <c r="K3639">
        <v>80</v>
      </c>
      <c r="M3639">
        <f t="shared" si="1244"/>
        <v>80</v>
      </c>
      <c r="N3639">
        <f t="shared" si="1245"/>
        <v>20</v>
      </c>
    </row>
    <row r="3640" spans="1:14" x14ac:dyDescent="0.25">
      <c r="A3640">
        <v>320</v>
      </c>
      <c r="B3640" s="1">
        <v>44130</v>
      </c>
      <c r="C3640" t="str">
        <f t="shared" si="1243"/>
        <v>octubre</v>
      </c>
      <c r="D3640" t="s">
        <v>15</v>
      </c>
      <c r="F3640" t="s">
        <v>20</v>
      </c>
      <c r="G3640">
        <v>17</v>
      </c>
      <c r="H3640">
        <v>265</v>
      </c>
      <c r="I3640">
        <f t="shared" si="1242"/>
        <v>4505</v>
      </c>
      <c r="J3640" t="s">
        <v>163</v>
      </c>
      <c r="K3640">
        <v>232</v>
      </c>
      <c r="M3640">
        <f t="shared" si="1244"/>
        <v>3944</v>
      </c>
      <c r="N3640">
        <f t="shared" si="1245"/>
        <v>561</v>
      </c>
    </row>
    <row r="3641" spans="1:14" x14ac:dyDescent="0.25">
      <c r="A3641">
        <v>321</v>
      </c>
      <c r="B3641" s="1">
        <v>44130</v>
      </c>
      <c r="C3641" t="str">
        <f t="shared" si="1243"/>
        <v>octubre</v>
      </c>
      <c r="D3641" t="s">
        <v>78</v>
      </c>
      <c r="F3641" t="s">
        <v>79</v>
      </c>
      <c r="G3641">
        <v>1</v>
      </c>
      <c r="H3641">
        <v>1550</v>
      </c>
      <c r="I3641">
        <f t="shared" si="1242"/>
        <v>1550</v>
      </c>
      <c r="J3641" t="s">
        <v>167</v>
      </c>
      <c r="K3641">
        <v>1260</v>
      </c>
      <c r="M3641">
        <f t="shared" si="1244"/>
        <v>1260</v>
      </c>
      <c r="N3641">
        <f t="shared" si="1245"/>
        <v>290</v>
      </c>
    </row>
    <row r="3642" spans="1:14" x14ac:dyDescent="0.25">
      <c r="A3642">
        <v>322</v>
      </c>
      <c r="B3642" s="1">
        <v>44130</v>
      </c>
      <c r="C3642" t="str">
        <f t="shared" si="1243"/>
        <v>octubre</v>
      </c>
      <c r="D3642" t="s">
        <v>15</v>
      </c>
      <c r="F3642" t="s">
        <v>356</v>
      </c>
      <c r="G3642">
        <v>10.199999999999999</v>
      </c>
      <c r="H3642">
        <v>240</v>
      </c>
      <c r="I3642">
        <f t="shared" si="1242"/>
        <v>2448</v>
      </c>
      <c r="J3642" t="s">
        <v>167</v>
      </c>
      <c r="K3642">
        <v>207</v>
      </c>
      <c r="M3642">
        <f t="shared" si="1244"/>
        <v>2111.3999999999996</v>
      </c>
      <c r="N3642">
        <f t="shared" si="1245"/>
        <v>336.60000000000036</v>
      </c>
    </row>
    <row r="3643" spans="1:14" x14ac:dyDescent="0.25">
      <c r="A3643">
        <v>323</v>
      </c>
      <c r="B3643" s="1">
        <v>44130</v>
      </c>
      <c r="C3643" t="str">
        <f t="shared" si="1243"/>
        <v>octubre</v>
      </c>
      <c r="D3643" t="s">
        <v>56</v>
      </c>
      <c r="F3643" t="s">
        <v>236</v>
      </c>
      <c r="G3643">
        <v>6</v>
      </c>
      <c r="H3643">
        <v>120</v>
      </c>
      <c r="I3643">
        <f t="shared" si="1242"/>
        <v>720</v>
      </c>
      <c r="J3643" t="s">
        <v>165</v>
      </c>
      <c r="K3643">
        <v>83</v>
      </c>
      <c r="M3643">
        <f t="shared" si="1244"/>
        <v>498</v>
      </c>
      <c r="N3643">
        <f t="shared" si="1245"/>
        <v>222</v>
      </c>
    </row>
    <row r="3644" spans="1:14" x14ac:dyDescent="0.25">
      <c r="A3644">
        <v>324</v>
      </c>
      <c r="B3644" s="1">
        <v>44130</v>
      </c>
      <c r="C3644" t="str">
        <f t="shared" si="1243"/>
        <v>octubre</v>
      </c>
      <c r="D3644" t="s">
        <v>75</v>
      </c>
      <c r="F3644" t="s">
        <v>232</v>
      </c>
      <c r="G3644">
        <v>30</v>
      </c>
      <c r="H3644">
        <v>45</v>
      </c>
      <c r="I3644">
        <f t="shared" si="1242"/>
        <v>1350</v>
      </c>
      <c r="J3644" t="s">
        <v>163</v>
      </c>
      <c r="K3644">
        <v>38</v>
      </c>
      <c r="M3644">
        <f t="shared" si="1244"/>
        <v>1140</v>
      </c>
      <c r="N3644">
        <f t="shared" si="1245"/>
        <v>210</v>
      </c>
    </row>
    <row r="3645" spans="1:14" x14ac:dyDescent="0.25">
      <c r="A3645">
        <v>325</v>
      </c>
      <c r="B3645" s="1">
        <v>44130</v>
      </c>
      <c r="C3645" t="str">
        <f t="shared" si="1243"/>
        <v>octubre</v>
      </c>
      <c r="D3645" t="s">
        <v>15</v>
      </c>
      <c r="F3645" t="s">
        <v>493</v>
      </c>
      <c r="G3645">
        <v>4</v>
      </c>
      <c r="H3645">
        <v>300</v>
      </c>
      <c r="I3645">
        <f t="shared" si="1242"/>
        <v>1200</v>
      </c>
      <c r="J3645" t="s">
        <v>167</v>
      </c>
      <c r="K3645">
        <v>268</v>
      </c>
      <c r="M3645">
        <f t="shared" si="1244"/>
        <v>1072</v>
      </c>
      <c r="N3645">
        <f t="shared" si="1245"/>
        <v>128</v>
      </c>
    </row>
    <row r="3646" spans="1:14" x14ac:dyDescent="0.25">
      <c r="A3646">
        <v>326</v>
      </c>
      <c r="B3646" s="1">
        <v>44130</v>
      </c>
      <c r="C3646" t="str">
        <f t="shared" si="1243"/>
        <v>octubre</v>
      </c>
      <c r="D3646" t="s">
        <v>15</v>
      </c>
      <c r="F3646" t="s">
        <v>527</v>
      </c>
      <c r="G3646">
        <v>2</v>
      </c>
      <c r="H3646">
        <v>250</v>
      </c>
      <c r="I3646">
        <f t="shared" si="1242"/>
        <v>500</v>
      </c>
      <c r="J3646" t="s">
        <v>163</v>
      </c>
      <c r="K3646">
        <v>222</v>
      </c>
      <c r="M3646">
        <f t="shared" si="1244"/>
        <v>444</v>
      </c>
      <c r="N3646">
        <f t="shared" si="1245"/>
        <v>56</v>
      </c>
    </row>
    <row r="3647" spans="1:14" x14ac:dyDescent="0.25">
      <c r="A3647">
        <v>327</v>
      </c>
      <c r="B3647" s="1">
        <v>44130</v>
      </c>
      <c r="C3647" t="str">
        <f t="shared" si="1243"/>
        <v>octubre</v>
      </c>
      <c r="D3647" t="s">
        <v>15</v>
      </c>
      <c r="F3647" t="s">
        <v>19</v>
      </c>
      <c r="G3647">
        <f>4/9</f>
        <v>0.44444444444444442</v>
      </c>
      <c r="H3647">
        <v>300</v>
      </c>
      <c r="I3647">
        <f t="shared" si="1242"/>
        <v>133.33333333333331</v>
      </c>
      <c r="J3647" t="s">
        <v>167</v>
      </c>
      <c r="K3647">
        <v>268</v>
      </c>
      <c r="M3647">
        <f t="shared" si="1244"/>
        <v>119.1111111111111</v>
      </c>
      <c r="N3647">
        <f t="shared" si="1245"/>
        <v>14.222222222222214</v>
      </c>
    </row>
    <row r="3648" spans="1:14" x14ac:dyDescent="0.25">
      <c r="A3648">
        <v>328</v>
      </c>
      <c r="B3648" s="1">
        <v>44130</v>
      </c>
      <c r="C3648" t="str">
        <f t="shared" si="1243"/>
        <v>octubre</v>
      </c>
      <c r="D3648" t="s">
        <v>55</v>
      </c>
      <c r="F3648" t="s">
        <v>524</v>
      </c>
      <c r="G3648">
        <v>5</v>
      </c>
      <c r="H3648">
        <v>300</v>
      </c>
      <c r="I3648">
        <f t="shared" si="1242"/>
        <v>1500</v>
      </c>
      <c r="J3648" t="s">
        <v>167</v>
      </c>
      <c r="K3648">
        <v>268</v>
      </c>
      <c r="M3648">
        <f t="shared" si="1244"/>
        <v>1340</v>
      </c>
      <c r="N3648">
        <f t="shared" si="1245"/>
        <v>160</v>
      </c>
    </row>
    <row r="3649" spans="1:14" x14ac:dyDescent="0.25">
      <c r="A3649">
        <v>329</v>
      </c>
      <c r="B3649" s="1">
        <v>44130</v>
      </c>
      <c r="C3649" t="str">
        <f t="shared" si="1243"/>
        <v>octubre</v>
      </c>
      <c r="D3649" t="s">
        <v>25</v>
      </c>
      <c r="F3649" t="s">
        <v>58</v>
      </c>
      <c r="G3649">
        <v>1</v>
      </c>
      <c r="H3649">
        <v>60</v>
      </c>
      <c r="I3649">
        <f t="shared" si="1242"/>
        <v>60</v>
      </c>
      <c r="J3649" t="s">
        <v>165</v>
      </c>
      <c r="K3649">
        <v>34</v>
      </c>
      <c r="M3649">
        <f t="shared" si="1244"/>
        <v>34</v>
      </c>
      <c r="N3649">
        <f t="shared" si="1245"/>
        <v>26</v>
      </c>
    </row>
    <row r="3650" spans="1:14" x14ac:dyDescent="0.25">
      <c r="A3650">
        <v>330</v>
      </c>
      <c r="B3650" s="1">
        <v>44130</v>
      </c>
      <c r="C3650" t="str">
        <f t="shared" si="1243"/>
        <v>octubre</v>
      </c>
      <c r="D3650" t="s">
        <v>56</v>
      </c>
      <c r="F3650" t="s">
        <v>267</v>
      </c>
      <c r="G3650">
        <v>2</v>
      </c>
      <c r="H3650">
        <v>170</v>
      </c>
      <c r="I3650">
        <f t="shared" si="1242"/>
        <v>340</v>
      </c>
      <c r="J3650" t="s">
        <v>163</v>
      </c>
      <c r="K3650">
        <v>125</v>
      </c>
      <c r="M3650">
        <f t="shared" si="1244"/>
        <v>250</v>
      </c>
      <c r="N3650">
        <f t="shared" si="1245"/>
        <v>90</v>
      </c>
    </row>
    <row r="3651" spans="1:14" x14ac:dyDescent="0.25">
      <c r="A3651">
        <v>331</v>
      </c>
      <c r="B3651" s="1">
        <v>44130</v>
      </c>
      <c r="C3651" t="str">
        <f t="shared" si="1243"/>
        <v>octubre</v>
      </c>
      <c r="D3651" t="s">
        <v>75</v>
      </c>
      <c r="F3651" t="s">
        <v>528</v>
      </c>
      <c r="G3651">
        <v>6</v>
      </c>
      <c r="H3651">
        <v>75</v>
      </c>
      <c r="I3651">
        <f t="shared" si="1242"/>
        <v>450</v>
      </c>
      <c r="J3651" t="s">
        <v>163</v>
      </c>
      <c r="K3651">
        <v>54</v>
      </c>
      <c r="M3651">
        <f t="shared" si="1244"/>
        <v>324</v>
      </c>
      <c r="N3651">
        <f t="shared" si="1245"/>
        <v>126</v>
      </c>
    </row>
    <row r="3652" spans="1:14" x14ac:dyDescent="0.25">
      <c r="A3652">
        <v>332</v>
      </c>
      <c r="B3652" s="1">
        <v>44131</v>
      </c>
      <c r="C3652" t="str">
        <f t="shared" si="1243"/>
        <v>octubre</v>
      </c>
      <c r="D3652" t="s">
        <v>15</v>
      </c>
      <c r="F3652" t="s">
        <v>20</v>
      </c>
      <c r="G3652">
        <v>37</v>
      </c>
      <c r="H3652">
        <v>260</v>
      </c>
      <c r="I3652">
        <f t="shared" si="1242"/>
        <v>9620</v>
      </c>
      <c r="J3652" t="s">
        <v>163</v>
      </c>
      <c r="K3652">
        <v>232</v>
      </c>
      <c r="M3652">
        <f t="shared" si="1244"/>
        <v>8584</v>
      </c>
      <c r="N3652">
        <f t="shared" si="1245"/>
        <v>1036</v>
      </c>
    </row>
    <row r="3653" spans="1:14" x14ac:dyDescent="0.25">
      <c r="A3653">
        <v>333</v>
      </c>
      <c r="B3653" s="1">
        <v>44131</v>
      </c>
      <c r="C3653" t="str">
        <f t="shared" si="1243"/>
        <v>octubre</v>
      </c>
      <c r="D3653" t="s">
        <v>15</v>
      </c>
      <c r="F3653" t="s">
        <v>529</v>
      </c>
      <c r="G3653">
        <v>84</v>
      </c>
      <c r="H3653">
        <v>250</v>
      </c>
      <c r="I3653">
        <f t="shared" si="1242"/>
        <v>21000</v>
      </c>
      <c r="J3653" t="s">
        <v>163</v>
      </c>
      <c r="K3653">
        <v>222</v>
      </c>
      <c r="M3653">
        <f t="shared" si="1244"/>
        <v>18648</v>
      </c>
      <c r="N3653">
        <f t="shared" si="1245"/>
        <v>2352</v>
      </c>
    </row>
    <row r="3654" spans="1:14" x14ac:dyDescent="0.25">
      <c r="A3654">
        <v>334</v>
      </c>
      <c r="B3654" s="1">
        <v>44131</v>
      </c>
      <c r="C3654" t="str">
        <f t="shared" si="1243"/>
        <v>octubre</v>
      </c>
      <c r="D3654" t="s">
        <v>15</v>
      </c>
      <c r="F3654" t="s">
        <v>481</v>
      </c>
      <c r="G3654">
        <v>17</v>
      </c>
      <c r="H3654">
        <v>250</v>
      </c>
      <c r="I3654">
        <f t="shared" si="1242"/>
        <v>4250</v>
      </c>
      <c r="J3654" t="s">
        <v>163</v>
      </c>
      <c r="K3654">
        <v>220</v>
      </c>
      <c r="M3654">
        <f t="shared" si="1244"/>
        <v>3740</v>
      </c>
      <c r="N3654">
        <f t="shared" si="1245"/>
        <v>510</v>
      </c>
    </row>
    <row r="3655" spans="1:14" x14ac:dyDescent="0.25">
      <c r="A3655">
        <v>335</v>
      </c>
      <c r="B3655" s="1">
        <v>44131</v>
      </c>
      <c r="C3655" t="str">
        <f t="shared" si="1243"/>
        <v>octubre</v>
      </c>
      <c r="D3655" t="s">
        <v>56</v>
      </c>
      <c r="F3655" t="s">
        <v>236</v>
      </c>
      <c r="G3655">
        <v>10</v>
      </c>
      <c r="H3655">
        <v>120</v>
      </c>
      <c r="I3655">
        <f t="shared" si="1242"/>
        <v>1200</v>
      </c>
      <c r="J3655" t="s">
        <v>165</v>
      </c>
      <c r="K3655">
        <v>83</v>
      </c>
      <c r="M3655">
        <f t="shared" si="1244"/>
        <v>830</v>
      </c>
      <c r="N3655">
        <f t="shared" si="1245"/>
        <v>370</v>
      </c>
    </row>
    <row r="3656" spans="1:14" x14ac:dyDescent="0.25">
      <c r="A3656">
        <v>336</v>
      </c>
      <c r="B3656" s="1">
        <v>44131</v>
      </c>
      <c r="C3656" t="str">
        <f t="shared" si="1243"/>
        <v>octubre</v>
      </c>
      <c r="D3656" t="s">
        <v>25</v>
      </c>
      <c r="F3656" t="s">
        <v>147</v>
      </c>
      <c r="G3656">
        <v>2</v>
      </c>
      <c r="H3656">
        <v>60</v>
      </c>
      <c r="I3656">
        <f t="shared" si="1242"/>
        <v>120</v>
      </c>
      <c r="J3656" t="s">
        <v>165</v>
      </c>
      <c r="K3656">
        <v>34</v>
      </c>
      <c r="M3656">
        <f t="shared" si="1244"/>
        <v>68</v>
      </c>
      <c r="N3656">
        <f t="shared" si="1245"/>
        <v>52</v>
      </c>
    </row>
    <row r="3657" spans="1:14" x14ac:dyDescent="0.25">
      <c r="A3657">
        <v>337</v>
      </c>
      <c r="B3657" s="1">
        <v>44131</v>
      </c>
      <c r="C3657" t="str">
        <f t="shared" si="1243"/>
        <v>octubre</v>
      </c>
      <c r="D3657" t="s">
        <v>56</v>
      </c>
      <c r="F3657" t="s">
        <v>267</v>
      </c>
      <c r="G3657">
        <v>8</v>
      </c>
      <c r="H3657">
        <v>160</v>
      </c>
      <c r="I3657">
        <f t="shared" si="1242"/>
        <v>1280</v>
      </c>
      <c r="J3657" t="s">
        <v>163</v>
      </c>
      <c r="K3657">
        <v>125</v>
      </c>
      <c r="M3657">
        <f t="shared" si="1244"/>
        <v>1000</v>
      </c>
      <c r="N3657">
        <f t="shared" si="1245"/>
        <v>280</v>
      </c>
    </row>
    <row r="3658" spans="1:14" x14ac:dyDescent="0.25">
      <c r="A3658">
        <v>338</v>
      </c>
      <c r="B3658" s="1">
        <v>44131</v>
      </c>
      <c r="C3658" t="str">
        <f t="shared" si="1243"/>
        <v>octubre</v>
      </c>
      <c r="D3658" t="s">
        <v>25</v>
      </c>
      <c r="F3658" t="s">
        <v>57</v>
      </c>
      <c r="G3658">
        <v>2</v>
      </c>
      <c r="H3658">
        <v>60</v>
      </c>
      <c r="I3658">
        <f t="shared" ref="I3658:I3721" si="1246">+G3658*H3658</f>
        <v>120</v>
      </c>
      <c r="J3658" t="s">
        <v>165</v>
      </c>
      <c r="K3658">
        <v>34</v>
      </c>
      <c r="M3658">
        <f t="shared" si="1244"/>
        <v>68</v>
      </c>
      <c r="N3658">
        <f t="shared" si="1245"/>
        <v>52</v>
      </c>
    </row>
    <row r="3659" spans="1:14" x14ac:dyDescent="0.25">
      <c r="A3659">
        <v>339</v>
      </c>
      <c r="B3659" s="1">
        <v>44131</v>
      </c>
      <c r="C3659" t="str">
        <f t="shared" si="1243"/>
        <v>octubre</v>
      </c>
      <c r="D3659" t="s">
        <v>44</v>
      </c>
      <c r="F3659" t="s">
        <v>387</v>
      </c>
      <c r="G3659">
        <v>1</v>
      </c>
      <c r="H3659">
        <v>35</v>
      </c>
      <c r="I3659">
        <f t="shared" si="1246"/>
        <v>35</v>
      </c>
      <c r="J3659" t="s">
        <v>166</v>
      </c>
      <c r="K3659">
        <v>22</v>
      </c>
      <c r="M3659">
        <f t="shared" si="1244"/>
        <v>22</v>
      </c>
      <c r="N3659">
        <f t="shared" si="1245"/>
        <v>13</v>
      </c>
    </row>
    <row r="3660" spans="1:14" x14ac:dyDescent="0.25">
      <c r="A3660">
        <v>340</v>
      </c>
      <c r="B3660" s="1">
        <v>44131</v>
      </c>
      <c r="C3660" t="str">
        <f t="shared" si="1243"/>
        <v>octubre</v>
      </c>
      <c r="D3660" t="s">
        <v>55</v>
      </c>
      <c r="F3660" t="s">
        <v>423</v>
      </c>
      <c r="G3660">
        <v>2</v>
      </c>
      <c r="H3660">
        <v>270</v>
      </c>
      <c r="I3660">
        <f t="shared" si="1246"/>
        <v>540</v>
      </c>
      <c r="J3660" t="s">
        <v>167</v>
      </c>
      <c r="K3660">
        <v>207</v>
      </c>
      <c r="M3660">
        <f t="shared" si="1244"/>
        <v>414</v>
      </c>
      <c r="N3660">
        <f t="shared" si="1245"/>
        <v>126</v>
      </c>
    </row>
    <row r="3661" spans="1:14" x14ac:dyDescent="0.25">
      <c r="A3661">
        <v>341</v>
      </c>
      <c r="B3661" s="1">
        <v>44131</v>
      </c>
      <c r="C3661" t="str">
        <f t="shared" si="1243"/>
        <v>octubre</v>
      </c>
      <c r="D3661" t="s">
        <v>24</v>
      </c>
      <c r="F3661" t="s">
        <v>24</v>
      </c>
      <c r="G3661">
        <v>1</v>
      </c>
      <c r="H3661">
        <v>100</v>
      </c>
      <c r="I3661">
        <f t="shared" si="1246"/>
        <v>100</v>
      </c>
      <c r="J3661" t="s">
        <v>186</v>
      </c>
      <c r="K3661">
        <v>80</v>
      </c>
      <c r="M3661">
        <f t="shared" si="1244"/>
        <v>80</v>
      </c>
      <c r="N3661">
        <f t="shared" si="1245"/>
        <v>20</v>
      </c>
    </row>
    <row r="3662" spans="1:14" x14ac:dyDescent="0.25">
      <c r="A3662">
        <v>342</v>
      </c>
      <c r="B3662" s="1">
        <v>44131</v>
      </c>
      <c r="C3662" t="str">
        <f t="shared" si="1243"/>
        <v>octubre</v>
      </c>
      <c r="D3662" t="s">
        <v>15</v>
      </c>
      <c r="F3662" t="s">
        <v>20</v>
      </c>
      <c r="G3662">
        <v>1</v>
      </c>
      <c r="H3662">
        <v>270</v>
      </c>
      <c r="I3662">
        <f t="shared" si="1246"/>
        <v>270</v>
      </c>
      <c r="J3662" t="s">
        <v>163</v>
      </c>
      <c r="K3662">
        <v>232</v>
      </c>
      <c r="M3662">
        <f t="shared" si="1244"/>
        <v>232</v>
      </c>
      <c r="N3662">
        <f t="shared" si="1245"/>
        <v>38</v>
      </c>
    </row>
    <row r="3663" spans="1:14" x14ac:dyDescent="0.25">
      <c r="A3663">
        <v>343</v>
      </c>
      <c r="B3663" s="1">
        <v>44131</v>
      </c>
      <c r="C3663" t="str">
        <f t="shared" si="1243"/>
        <v>octubre</v>
      </c>
      <c r="D3663" t="s">
        <v>75</v>
      </c>
      <c r="F3663" t="s">
        <v>530</v>
      </c>
      <c r="G3663">
        <v>2</v>
      </c>
      <c r="H3663">
        <v>45</v>
      </c>
      <c r="I3663">
        <f t="shared" si="1246"/>
        <v>90</v>
      </c>
      <c r="J3663" t="s">
        <v>163</v>
      </c>
      <c r="K3663">
        <v>32</v>
      </c>
      <c r="M3663">
        <f t="shared" si="1244"/>
        <v>64</v>
      </c>
      <c r="N3663">
        <f t="shared" si="1245"/>
        <v>26</v>
      </c>
    </row>
    <row r="3664" spans="1:14" x14ac:dyDescent="0.25">
      <c r="A3664">
        <v>344</v>
      </c>
      <c r="B3664" s="1">
        <v>44131</v>
      </c>
      <c r="C3664" t="str">
        <f t="shared" si="1243"/>
        <v>octubre</v>
      </c>
      <c r="D3664" t="s">
        <v>70</v>
      </c>
      <c r="F3664" t="s">
        <v>290</v>
      </c>
      <c r="G3664">
        <v>1</v>
      </c>
      <c r="H3664">
        <v>400</v>
      </c>
      <c r="I3664">
        <f t="shared" si="1246"/>
        <v>400</v>
      </c>
      <c r="J3664" t="s">
        <v>167</v>
      </c>
      <c r="K3664">
        <v>311</v>
      </c>
      <c r="M3664">
        <f t="shared" si="1244"/>
        <v>311</v>
      </c>
      <c r="N3664">
        <f t="shared" si="1245"/>
        <v>89</v>
      </c>
    </row>
    <row r="3665" spans="1:14" x14ac:dyDescent="0.25">
      <c r="A3665">
        <v>345</v>
      </c>
      <c r="B3665" s="1">
        <v>44131</v>
      </c>
      <c r="C3665" t="str">
        <f t="shared" si="1243"/>
        <v>octubre</v>
      </c>
      <c r="D3665" t="s">
        <v>26</v>
      </c>
      <c r="F3665" t="s">
        <v>531</v>
      </c>
      <c r="G3665">
        <v>7</v>
      </c>
      <c r="H3665">
        <v>425</v>
      </c>
      <c r="I3665">
        <f t="shared" si="1246"/>
        <v>2975</v>
      </c>
      <c r="J3665" t="s">
        <v>167</v>
      </c>
      <c r="K3665">
        <v>350</v>
      </c>
      <c r="M3665">
        <f t="shared" si="1244"/>
        <v>2450</v>
      </c>
      <c r="N3665">
        <f t="shared" si="1245"/>
        <v>525</v>
      </c>
    </row>
    <row r="3666" spans="1:14" x14ac:dyDescent="0.25">
      <c r="A3666">
        <v>346</v>
      </c>
      <c r="B3666" s="1">
        <v>44131</v>
      </c>
      <c r="C3666" t="str">
        <f t="shared" si="1243"/>
        <v>octubre</v>
      </c>
      <c r="D3666" t="s">
        <v>25</v>
      </c>
      <c r="F3666" t="s">
        <v>58</v>
      </c>
      <c r="G3666">
        <v>1</v>
      </c>
      <c r="H3666">
        <v>60</v>
      </c>
      <c r="I3666">
        <f t="shared" si="1246"/>
        <v>60</v>
      </c>
      <c r="J3666" t="s">
        <v>165</v>
      </c>
      <c r="K3666">
        <v>34</v>
      </c>
      <c r="M3666">
        <f t="shared" si="1244"/>
        <v>34</v>
      </c>
      <c r="N3666">
        <f t="shared" si="1245"/>
        <v>26</v>
      </c>
    </row>
    <row r="3667" spans="1:14" x14ac:dyDescent="0.25">
      <c r="A3667">
        <v>347</v>
      </c>
      <c r="B3667" s="1">
        <v>44132</v>
      </c>
      <c r="C3667" t="str">
        <f t="shared" si="1243"/>
        <v>octubre</v>
      </c>
      <c r="D3667" t="s">
        <v>15</v>
      </c>
      <c r="F3667" t="s">
        <v>19</v>
      </c>
      <c r="G3667">
        <f>1/9</f>
        <v>0.1111111111111111</v>
      </c>
      <c r="H3667">
        <v>300</v>
      </c>
      <c r="I3667">
        <f t="shared" si="1246"/>
        <v>33.333333333333329</v>
      </c>
      <c r="J3667" t="s">
        <v>167</v>
      </c>
      <c r="K3667">
        <v>268</v>
      </c>
      <c r="M3667">
        <f t="shared" si="1244"/>
        <v>29.777777777777775</v>
      </c>
      <c r="N3667">
        <f t="shared" si="1245"/>
        <v>3.5555555555555536</v>
      </c>
    </row>
    <row r="3668" spans="1:14" x14ac:dyDescent="0.25">
      <c r="A3668">
        <v>348</v>
      </c>
      <c r="B3668" s="1">
        <v>44132</v>
      </c>
      <c r="C3668" t="str">
        <f t="shared" si="1243"/>
        <v>octubre</v>
      </c>
      <c r="D3668" t="s">
        <v>25</v>
      </c>
      <c r="F3668" t="s">
        <v>148</v>
      </c>
      <c r="G3668">
        <v>1</v>
      </c>
      <c r="H3668">
        <v>60</v>
      </c>
      <c r="I3668">
        <f t="shared" si="1246"/>
        <v>60</v>
      </c>
      <c r="J3668" t="s">
        <v>165</v>
      </c>
      <c r="K3668">
        <v>34</v>
      </c>
      <c r="M3668">
        <f t="shared" si="1244"/>
        <v>34</v>
      </c>
      <c r="N3668">
        <f t="shared" si="1245"/>
        <v>26</v>
      </c>
    </row>
    <row r="3669" spans="1:14" x14ac:dyDescent="0.25">
      <c r="A3669">
        <v>349</v>
      </c>
      <c r="B3669" s="1">
        <v>44132</v>
      </c>
      <c r="C3669" t="str">
        <f t="shared" si="1243"/>
        <v>octubre</v>
      </c>
      <c r="D3669" t="s">
        <v>92</v>
      </c>
      <c r="F3669" t="s">
        <v>405</v>
      </c>
      <c r="G3669">
        <v>1</v>
      </c>
      <c r="H3669">
        <v>230</v>
      </c>
      <c r="I3669">
        <f t="shared" si="1246"/>
        <v>230</v>
      </c>
      <c r="J3669" t="s">
        <v>166</v>
      </c>
      <c r="K3669">
        <v>150</v>
      </c>
      <c r="M3669">
        <f t="shared" si="1244"/>
        <v>150</v>
      </c>
      <c r="N3669">
        <f t="shared" si="1245"/>
        <v>80</v>
      </c>
    </row>
    <row r="3670" spans="1:14" x14ac:dyDescent="0.25">
      <c r="A3670">
        <v>350</v>
      </c>
      <c r="B3670" s="1">
        <v>44132</v>
      </c>
      <c r="C3670" t="str">
        <f t="shared" si="1243"/>
        <v>octubre</v>
      </c>
      <c r="D3670" t="s">
        <v>15</v>
      </c>
      <c r="F3670" t="s">
        <v>110</v>
      </c>
      <c r="G3670">
        <v>6</v>
      </c>
      <c r="H3670">
        <v>298</v>
      </c>
      <c r="I3670">
        <f t="shared" si="1246"/>
        <v>1788</v>
      </c>
      <c r="J3670" t="s">
        <v>167</v>
      </c>
      <c r="K3670">
        <v>268</v>
      </c>
      <c r="M3670">
        <f t="shared" si="1244"/>
        <v>1608</v>
      </c>
      <c r="N3670">
        <f t="shared" si="1245"/>
        <v>180</v>
      </c>
    </row>
    <row r="3671" spans="1:14" x14ac:dyDescent="0.25">
      <c r="A3671">
        <v>351</v>
      </c>
      <c r="B3671" s="1">
        <v>44132</v>
      </c>
      <c r="C3671" t="str">
        <f t="shared" si="1243"/>
        <v>octubre</v>
      </c>
      <c r="D3671" t="s">
        <v>25</v>
      </c>
      <c r="F3671" t="s">
        <v>337</v>
      </c>
      <c r="G3671">
        <v>1</v>
      </c>
      <c r="H3671">
        <v>60</v>
      </c>
      <c r="I3671">
        <f t="shared" si="1246"/>
        <v>60</v>
      </c>
      <c r="J3671" t="s">
        <v>165</v>
      </c>
      <c r="K3671">
        <v>34</v>
      </c>
      <c r="M3671">
        <f t="shared" si="1244"/>
        <v>34</v>
      </c>
      <c r="N3671">
        <f t="shared" si="1245"/>
        <v>26</v>
      </c>
    </row>
    <row r="3672" spans="1:14" x14ac:dyDescent="0.25">
      <c r="A3672">
        <v>352</v>
      </c>
      <c r="B3672" s="1">
        <v>44132</v>
      </c>
      <c r="C3672" t="str">
        <f t="shared" si="1243"/>
        <v>octubre</v>
      </c>
      <c r="D3672" t="s">
        <v>56</v>
      </c>
      <c r="F3672" t="s">
        <v>267</v>
      </c>
      <c r="G3672">
        <v>1</v>
      </c>
      <c r="H3672">
        <v>170</v>
      </c>
      <c r="I3672">
        <f t="shared" si="1246"/>
        <v>170</v>
      </c>
      <c r="J3672" t="s">
        <v>163</v>
      </c>
      <c r="K3672">
        <v>125</v>
      </c>
      <c r="M3672">
        <f t="shared" si="1244"/>
        <v>125</v>
      </c>
      <c r="N3672">
        <f t="shared" si="1245"/>
        <v>45</v>
      </c>
    </row>
    <row r="3673" spans="1:14" x14ac:dyDescent="0.25">
      <c r="A3673">
        <v>353</v>
      </c>
      <c r="B3673" s="1">
        <v>44132</v>
      </c>
      <c r="C3673" t="str">
        <f t="shared" si="1243"/>
        <v>octubre</v>
      </c>
      <c r="D3673" t="s">
        <v>15</v>
      </c>
      <c r="F3673" t="s">
        <v>356</v>
      </c>
      <c r="G3673">
        <v>1</v>
      </c>
      <c r="H3673">
        <v>240</v>
      </c>
      <c r="I3673">
        <f t="shared" si="1246"/>
        <v>240</v>
      </c>
      <c r="J3673" t="s">
        <v>167</v>
      </c>
      <c r="K3673">
        <v>207</v>
      </c>
      <c r="M3673">
        <f t="shared" si="1244"/>
        <v>207</v>
      </c>
      <c r="N3673">
        <f t="shared" si="1245"/>
        <v>33</v>
      </c>
    </row>
    <row r="3674" spans="1:14" x14ac:dyDescent="0.25">
      <c r="A3674">
        <v>354</v>
      </c>
      <c r="B3674" s="1">
        <v>44132</v>
      </c>
      <c r="C3674" t="str">
        <f t="shared" si="1243"/>
        <v>octubre</v>
      </c>
      <c r="D3674" t="s">
        <v>56</v>
      </c>
      <c r="F3674" t="s">
        <v>236</v>
      </c>
      <c r="G3674">
        <v>4</v>
      </c>
      <c r="H3674">
        <v>120</v>
      </c>
      <c r="I3674">
        <f t="shared" si="1246"/>
        <v>480</v>
      </c>
      <c r="J3674" t="s">
        <v>165</v>
      </c>
      <c r="K3674">
        <v>83</v>
      </c>
      <c r="M3674">
        <f t="shared" si="1244"/>
        <v>332</v>
      </c>
      <c r="N3674">
        <f t="shared" si="1245"/>
        <v>148</v>
      </c>
    </row>
    <row r="3675" spans="1:14" x14ac:dyDescent="0.25">
      <c r="A3675">
        <v>355</v>
      </c>
      <c r="B3675" s="1">
        <v>44132</v>
      </c>
      <c r="C3675" t="str">
        <f t="shared" si="1243"/>
        <v>octubre</v>
      </c>
      <c r="D3675" t="s">
        <v>56</v>
      </c>
      <c r="F3675" t="s">
        <v>236</v>
      </c>
      <c r="G3675">
        <v>1</v>
      </c>
      <c r="H3675">
        <v>120</v>
      </c>
      <c r="I3675">
        <f t="shared" si="1246"/>
        <v>120</v>
      </c>
      <c r="J3675" t="s">
        <v>165</v>
      </c>
      <c r="K3675">
        <v>83</v>
      </c>
      <c r="M3675">
        <f t="shared" si="1244"/>
        <v>83</v>
      </c>
      <c r="N3675">
        <f t="shared" si="1245"/>
        <v>37</v>
      </c>
    </row>
    <row r="3676" spans="1:14" x14ac:dyDescent="0.25">
      <c r="A3676">
        <v>356</v>
      </c>
      <c r="B3676" s="1">
        <v>44132</v>
      </c>
      <c r="C3676" t="str">
        <f t="shared" si="1243"/>
        <v>octubre</v>
      </c>
      <c r="D3676" t="s">
        <v>15</v>
      </c>
      <c r="F3676" t="s">
        <v>346</v>
      </c>
      <c r="G3676">
        <v>9</v>
      </c>
      <c r="H3676">
        <v>250</v>
      </c>
      <c r="I3676">
        <f t="shared" si="1246"/>
        <v>2250</v>
      </c>
      <c r="J3676" t="s">
        <v>167</v>
      </c>
      <c r="K3676">
        <v>210</v>
      </c>
      <c r="M3676">
        <f t="shared" si="1244"/>
        <v>1890</v>
      </c>
      <c r="N3676">
        <f t="shared" si="1245"/>
        <v>360</v>
      </c>
    </row>
    <row r="3677" spans="1:14" x14ac:dyDescent="0.25">
      <c r="A3677">
        <v>357</v>
      </c>
      <c r="B3677" s="1">
        <v>44132</v>
      </c>
      <c r="C3677" t="str">
        <f t="shared" si="1243"/>
        <v>octubre</v>
      </c>
      <c r="D3677" t="s">
        <v>25</v>
      </c>
      <c r="F3677" t="s">
        <v>148</v>
      </c>
      <c r="G3677">
        <v>2</v>
      </c>
      <c r="H3677">
        <v>60</v>
      </c>
      <c r="I3677">
        <f t="shared" si="1246"/>
        <v>120</v>
      </c>
      <c r="J3677" t="s">
        <v>165</v>
      </c>
      <c r="K3677">
        <v>34</v>
      </c>
      <c r="M3677">
        <f t="shared" si="1244"/>
        <v>68</v>
      </c>
      <c r="N3677">
        <f t="shared" si="1245"/>
        <v>52</v>
      </c>
    </row>
    <row r="3678" spans="1:14" x14ac:dyDescent="0.25">
      <c r="A3678">
        <v>358</v>
      </c>
      <c r="B3678" s="1">
        <v>44132</v>
      </c>
      <c r="C3678" t="str">
        <f t="shared" ref="C3678:C3741" si="1247">+TEXT(B3678,"mmmm")</f>
        <v>octubre</v>
      </c>
      <c r="D3678" t="s">
        <v>44</v>
      </c>
      <c r="F3678" t="s">
        <v>138</v>
      </c>
      <c r="G3678">
        <v>1</v>
      </c>
      <c r="H3678">
        <v>35</v>
      </c>
      <c r="I3678">
        <f t="shared" si="1246"/>
        <v>35</v>
      </c>
      <c r="J3678" t="s">
        <v>166</v>
      </c>
      <c r="K3678">
        <v>26</v>
      </c>
      <c r="M3678">
        <f t="shared" si="1244"/>
        <v>26</v>
      </c>
      <c r="N3678">
        <f t="shared" si="1245"/>
        <v>9</v>
      </c>
    </row>
    <row r="3679" spans="1:14" x14ac:dyDescent="0.25">
      <c r="A3679">
        <v>359</v>
      </c>
      <c r="B3679" s="1">
        <v>44132</v>
      </c>
      <c r="C3679" t="str">
        <f t="shared" si="1247"/>
        <v>octubre</v>
      </c>
      <c r="D3679" t="s">
        <v>15</v>
      </c>
      <c r="F3679" t="s">
        <v>481</v>
      </c>
      <c r="G3679">
        <v>11</v>
      </c>
      <c r="H3679">
        <v>240</v>
      </c>
      <c r="I3679">
        <f t="shared" si="1246"/>
        <v>2640</v>
      </c>
      <c r="J3679" t="s">
        <v>163</v>
      </c>
      <c r="K3679">
        <v>220</v>
      </c>
      <c r="M3679">
        <f t="shared" si="1244"/>
        <v>2420</v>
      </c>
      <c r="N3679">
        <f t="shared" si="1245"/>
        <v>220</v>
      </c>
    </row>
    <row r="3680" spans="1:14" x14ac:dyDescent="0.25">
      <c r="A3680">
        <v>360</v>
      </c>
      <c r="B3680" s="1">
        <v>44132</v>
      </c>
      <c r="C3680" t="str">
        <f t="shared" si="1247"/>
        <v>octubre</v>
      </c>
      <c r="D3680" t="s">
        <v>26</v>
      </c>
      <c r="F3680" t="s">
        <v>532</v>
      </c>
      <c r="G3680">
        <v>10.08</v>
      </c>
      <c r="H3680">
        <v>360</v>
      </c>
      <c r="I3680">
        <f t="shared" si="1246"/>
        <v>3628.8</v>
      </c>
      <c r="J3680" t="s">
        <v>99</v>
      </c>
      <c r="K3680">
        <v>341</v>
      </c>
      <c r="M3680">
        <f t="shared" si="1244"/>
        <v>3437.28</v>
      </c>
      <c r="N3680">
        <f t="shared" si="1245"/>
        <v>191.51999999999998</v>
      </c>
    </row>
    <row r="3681" spans="1:14" x14ac:dyDescent="0.25">
      <c r="A3681">
        <v>361</v>
      </c>
      <c r="B3681" s="1">
        <v>44132</v>
      </c>
      <c r="C3681" t="str">
        <f t="shared" si="1247"/>
        <v>octubre</v>
      </c>
      <c r="D3681" t="s">
        <v>56</v>
      </c>
      <c r="F3681" t="s">
        <v>176</v>
      </c>
      <c r="G3681">
        <v>3</v>
      </c>
      <c r="H3681">
        <v>260</v>
      </c>
      <c r="I3681">
        <f t="shared" si="1246"/>
        <v>780</v>
      </c>
      <c r="J3681" t="s">
        <v>163</v>
      </c>
      <c r="K3681">
        <v>200</v>
      </c>
      <c r="M3681">
        <f t="shared" si="1244"/>
        <v>600</v>
      </c>
      <c r="N3681">
        <f t="shared" si="1245"/>
        <v>180</v>
      </c>
    </row>
    <row r="3682" spans="1:14" x14ac:dyDescent="0.25">
      <c r="A3682">
        <v>362</v>
      </c>
      <c r="B3682" s="1">
        <v>44132</v>
      </c>
      <c r="C3682" t="str">
        <f t="shared" si="1247"/>
        <v>octubre</v>
      </c>
      <c r="D3682" t="s">
        <v>56</v>
      </c>
      <c r="F3682" t="s">
        <v>267</v>
      </c>
      <c r="G3682">
        <v>3</v>
      </c>
      <c r="H3682">
        <v>170</v>
      </c>
      <c r="I3682">
        <f t="shared" si="1246"/>
        <v>510</v>
      </c>
      <c r="J3682" t="s">
        <v>163</v>
      </c>
      <c r="K3682">
        <v>125</v>
      </c>
      <c r="M3682">
        <f t="shared" si="1244"/>
        <v>375</v>
      </c>
      <c r="N3682">
        <f t="shared" si="1245"/>
        <v>135</v>
      </c>
    </row>
    <row r="3683" spans="1:14" x14ac:dyDescent="0.25">
      <c r="A3683">
        <v>363</v>
      </c>
      <c r="B3683" s="1">
        <v>44132</v>
      </c>
      <c r="C3683" t="str">
        <f t="shared" si="1247"/>
        <v>octubre</v>
      </c>
      <c r="D3683" t="s">
        <v>44</v>
      </c>
      <c r="F3683" t="s">
        <v>138</v>
      </c>
      <c r="G3683">
        <v>1</v>
      </c>
      <c r="H3683">
        <v>35</v>
      </c>
      <c r="I3683">
        <f t="shared" si="1246"/>
        <v>35</v>
      </c>
      <c r="J3683" t="s">
        <v>166</v>
      </c>
      <c r="K3683">
        <v>26</v>
      </c>
      <c r="M3683">
        <f t="shared" si="1244"/>
        <v>26</v>
      </c>
      <c r="N3683">
        <f t="shared" si="1245"/>
        <v>9</v>
      </c>
    </row>
    <row r="3684" spans="1:14" x14ac:dyDescent="0.25">
      <c r="A3684">
        <v>364</v>
      </c>
      <c r="B3684" s="1">
        <v>44132</v>
      </c>
      <c r="C3684" t="str">
        <f t="shared" si="1247"/>
        <v>octubre</v>
      </c>
      <c r="D3684" t="s">
        <v>15</v>
      </c>
      <c r="F3684" t="s">
        <v>19</v>
      </c>
      <c r="G3684">
        <v>20</v>
      </c>
      <c r="H3684">
        <v>295</v>
      </c>
      <c r="I3684">
        <f t="shared" si="1246"/>
        <v>5900</v>
      </c>
      <c r="J3684" t="s">
        <v>167</v>
      </c>
      <c r="K3684">
        <v>268</v>
      </c>
      <c r="M3684">
        <f t="shared" si="1244"/>
        <v>5360</v>
      </c>
      <c r="N3684">
        <f t="shared" si="1245"/>
        <v>540</v>
      </c>
    </row>
    <row r="3685" spans="1:14" x14ac:dyDescent="0.25">
      <c r="A3685">
        <v>365</v>
      </c>
      <c r="B3685" s="1">
        <v>44132</v>
      </c>
      <c r="C3685" t="str">
        <f t="shared" si="1247"/>
        <v>octubre</v>
      </c>
      <c r="D3685" t="s">
        <v>26</v>
      </c>
      <c r="F3685" t="s">
        <v>532</v>
      </c>
      <c r="G3685">
        <v>15.5</v>
      </c>
      <c r="H3685">
        <v>380</v>
      </c>
      <c r="I3685">
        <f t="shared" si="1246"/>
        <v>5890</v>
      </c>
      <c r="J3685" t="s">
        <v>99</v>
      </c>
      <c r="K3685">
        <v>341</v>
      </c>
      <c r="M3685">
        <f t="shared" si="1244"/>
        <v>5285.5</v>
      </c>
      <c r="N3685">
        <f t="shared" si="1245"/>
        <v>604.5</v>
      </c>
    </row>
    <row r="3686" spans="1:14" x14ac:dyDescent="0.25">
      <c r="A3686">
        <v>366</v>
      </c>
      <c r="B3686" s="1">
        <v>44132</v>
      </c>
      <c r="C3686" t="str">
        <f t="shared" si="1247"/>
        <v>octubre</v>
      </c>
      <c r="D3686" t="s">
        <v>56</v>
      </c>
      <c r="F3686" t="s">
        <v>176</v>
      </c>
      <c r="G3686">
        <v>3</v>
      </c>
      <c r="H3686">
        <v>250</v>
      </c>
      <c r="I3686">
        <f t="shared" si="1246"/>
        <v>750</v>
      </c>
      <c r="J3686" t="s">
        <v>163</v>
      </c>
      <c r="K3686">
        <v>200</v>
      </c>
      <c r="M3686">
        <f t="shared" si="1244"/>
        <v>600</v>
      </c>
      <c r="N3686">
        <f t="shared" si="1245"/>
        <v>150</v>
      </c>
    </row>
    <row r="3687" spans="1:14" x14ac:dyDescent="0.25">
      <c r="A3687">
        <v>367</v>
      </c>
      <c r="B3687" s="1">
        <v>44132</v>
      </c>
      <c r="C3687" t="str">
        <f t="shared" si="1247"/>
        <v>octubre</v>
      </c>
      <c r="D3687" t="s">
        <v>25</v>
      </c>
      <c r="F3687" t="s">
        <v>58</v>
      </c>
      <c r="G3687">
        <v>3</v>
      </c>
      <c r="H3687">
        <v>60</v>
      </c>
      <c r="I3687">
        <f t="shared" si="1246"/>
        <v>180</v>
      </c>
      <c r="J3687" t="s">
        <v>165</v>
      </c>
      <c r="K3687">
        <v>34</v>
      </c>
      <c r="M3687">
        <f t="shared" si="1244"/>
        <v>102</v>
      </c>
      <c r="N3687">
        <f t="shared" si="1245"/>
        <v>78</v>
      </c>
    </row>
    <row r="3688" spans="1:14" x14ac:dyDescent="0.25">
      <c r="A3688">
        <v>368</v>
      </c>
      <c r="B3688" s="1">
        <v>44132</v>
      </c>
      <c r="C3688" t="str">
        <f t="shared" si="1247"/>
        <v>octubre</v>
      </c>
      <c r="D3688" t="s">
        <v>44</v>
      </c>
      <c r="F3688" t="s">
        <v>138</v>
      </c>
      <c r="G3688">
        <v>1</v>
      </c>
      <c r="H3688">
        <v>35</v>
      </c>
      <c r="I3688">
        <f t="shared" si="1246"/>
        <v>35</v>
      </c>
      <c r="J3688" t="s">
        <v>166</v>
      </c>
      <c r="K3688">
        <v>26</v>
      </c>
      <c r="M3688">
        <f t="shared" si="1244"/>
        <v>26</v>
      </c>
      <c r="N3688">
        <f t="shared" si="1245"/>
        <v>9</v>
      </c>
    </row>
    <row r="3689" spans="1:14" x14ac:dyDescent="0.25">
      <c r="A3689">
        <v>369</v>
      </c>
      <c r="B3689" s="1">
        <v>44132</v>
      </c>
      <c r="C3689" t="str">
        <f t="shared" si="1247"/>
        <v>octubre</v>
      </c>
      <c r="D3689" t="s">
        <v>15</v>
      </c>
      <c r="F3689" t="s">
        <v>516</v>
      </c>
      <c r="G3689">
        <v>5</v>
      </c>
      <c r="H3689">
        <v>250</v>
      </c>
      <c r="I3689">
        <f t="shared" si="1246"/>
        <v>1250</v>
      </c>
      <c r="J3689" t="s">
        <v>167</v>
      </c>
      <c r="K3689">
        <v>210</v>
      </c>
      <c r="M3689">
        <f t="shared" si="1244"/>
        <v>1050</v>
      </c>
      <c r="N3689">
        <f t="shared" si="1245"/>
        <v>200</v>
      </c>
    </row>
    <row r="3690" spans="1:14" x14ac:dyDescent="0.25">
      <c r="A3690">
        <v>370</v>
      </c>
      <c r="B3690" s="1">
        <v>44132</v>
      </c>
      <c r="C3690" t="str">
        <f t="shared" si="1247"/>
        <v>octubre</v>
      </c>
      <c r="D3690" t="s">
        <v>56</v>
      </c>
      <c r="F3690" t="s">
        <v>267</v>
      </c>
      <c r="G3690">
        <v>1</v>
      </c>
      <c r="H3690">
        <v>160</v>
      </c>
      <c r="I3690">
        <f t="shared" si="1246"/>
        <v>160</v>
      </c>
      <c r="J3690" t="s">
        <v>163</v>
      </c>
      <c r="K3690">
        <v>125</v>
      </c>
      <c r="M3690">
        <f t="shared" si="1244"/>
        <v>125</v>
      </c>
      <c r="N3690">
        <f t="shared" si="1245"/>
        <v>35</v>
      </c>
    </row>
    <row r="3691" spans="1:14" x14ac:dyDescent="0.25">
      <c r="A3691">
        <v>371</v>
      </c>
      <c r="B3691" s="1">
        <v>44132</v>
      </c>
      <c r="C3691" t="str">
        <f t="shared" si="1247"/>
        <v>octubre</v>
      </c>
      <c r="D3691" t="s">
        <v>15</v>
      </c>
      <c r="F3691" t="s">
        <v>29</v>
      </c>
      <c r="G3691">
        <v>58</v>
      </c>
      <c r="H3691">
        <v>240</v>
      </c>
      <c r="I3691">
        <f t="shared" si="1246"/>
        <v>13920</v>
      </c>
      <c r="J3691" t="s">
        <v>163</v>
      </c>
      <c r="K3691">
        <v>212</v>
      </c>
      <c r="M3691">
        <f t="shared" ref="M3691:M3754" si="1248">+IF(K3691=0,(""),(K3691*G3691))</f>
        <v>12296</v>
      </c>
      <c r="N3691">
        <f t="shared" ref="N3691:N3754" si="1249">+IF(K3691=0,(""),(I3691-M3691))</f>
        <v>1624</v>
      </c>
    </row>
    <row r="3692" spans="1:14" x14ac:dyDescent="0.25">
      <c r="A3692">
        <v>372</v>
      </c>
      <c r="B3692" s="1">
        <v>44132</v>
      </c>
      <c r="C3692" t="str">
        <f t="shared" si="1247"/>
        <v>octubre</v>
      </c>
      <c r="D3692" t="s">
        <v>15</v>
      </c>
      <c r="F3692" t="s">
        <v>356</v>
      </c>
      <c r="G3692">
        <v>16</v>
      </c>
      <c r="H3692">
        <v>240</v>
      </c>
      <c r="I3692">
        <f t="shared" si="1246"/>
        <v>3840</v>
      </c>
      <c r="J3692" t="s">
        <v>167</v>
      </c>
      <c r="K3692">
        <v>207</v>
      </c>
      <c r="M3692">
        <f t="shared" si="1248"/>
        <v>3312</v>
      </c>
      <c r="N3692">
        <f t="shared" si="1249"/>
        <v>528</v>
      </c>
    </row>
    <row r="3693" spans="1:14" x14ac:dyDescent="0.25">
      <c r="A3693">
        <v>373</v>
      </c>
      <c r="B3693" s="1">
        <v>44132</v>
      </c>
      <c r="C3693" t="str">
        <f t="shared" si="1247"/>
        <v>octubre</v>
      </c>
      <c r="D3693" t="s">
        <v>15</v>
      </c>
      <c r="F3693" t="s">
        <v>19</v>
      </c>
      <c r="G3693">
        <f>1/9</f>
        <v>0.1111111111111111</v>
      </c>
      <c r="H3693">
        <v>300</v>
      </c>
      <c r="I3693">
        <f t="shared" si="1246"/>
        <v>33.333333333333329</v>
      </c>
      <c r="J3693" t="s">
        <v>167</v>
      </c>
      <c r="K3693">
        <v>268</v>
      </c>
      <c r="M3693">
        <f t="shared" si="1248"/>
        <v>29.777777777777775</v>
      </c>
      <c r="N3693">
        <f t="shared" si="1249"/>
        <v>3.5555555555555536</v>
      </c>
    </row>
    <row r="3694" spans="1:14" x14ac:dyDescent="0.25">
      <c r="A3694">
        <v>374</v>
      </c>
      <c r="B3694" s="1">
        <v>44132</v>
      </c>
      <c r="C3694" t="str">
        <f t="shared" si="1247"/>
        <v>octubre</v>
      </c>
      <c r="D3694" t="s">
        <v>55</v>
      </c>
      <c r="F3694" t="s">
        <v>416</v>
      </c>
      <c r="G3694">
        <v>1</v>
      </c>
      <c r="H3694">
        <v>270</v>
      </c>
      <c r="I3694">
        <f t="shared" si="1246"/>
        <v>270</v>
      </c>
      <c r="J3694" t="s">
        <v>167</v>
      </c>
      <c r="K3694">
        <v>207</v>
      </c>
      <c r="M3694">
        <f t="shared" si="1248"/>
        <v>207</v>
      </c>
      <c r="N3694">
        <f t="shared" si="1249"/>
        <v>63</v>
      </c>
    </row>
    <row r="3695" spans="1:14" x14ac:dyDescent="0.25">
      <c r="A3695">
        <v>375</v>
      </c>
      <c r="B3695" s="1">
        <v>44132</v>
      </c>
      <c r="C3695" t="str">
        <f t="shared" si="1247"/>
        <v>octubre</v>
      </c>
      <c r="D3695" t="s">
        <v>25</v>
      </c>
      <c r="F3695" t="s">
        <v>127</v>
      </c>
      <c r="G3695">
        <v>1</v>
      </c>
      <c r="H3695">
        <v>60</v>
      </c>
      <c r="I3695">
        <f t="shared" si="1246"/>
        <v>60</v>
      </c>
      <c r="J3695" t="s">
        <v>165</v>
      </c>
      <c r="K3695">
        <v>34</v>
      </c>
      <c r="M3695">
        <f t="shared" si="1248"/>
        <v>34</v>
      </c>
      <c r="N3695">
        <f t="shared" si="1249"/>
        <v>26</v>
      </c>
    </row>
    <row r="3696" spans="1:14" x14ac:dyDescent="0.25">
      <c r="A3696">
        <v>376</v>
      </c>
      <c r="B3696" s="1">
        <v>44132</v>
      </c>
      <c r="C3696" t="str">
        <f t="shared" si="1247"/>
        <v>octubre</v>
      </c>
      <c r="D3696" t="s">
        <v>55</v>
      </c>
      <c r="F3696" t="s">
        <v>399</v>
      </c>
      <c r="G3696">
        <f>4/17</f>
        <v>0.23529411764705882</v>
      </c>
      <c r="H3696">
        <v>300</v>
      </c>
      <c r="I3696">
        <f t="shared" si="1246"/>
        <v>70.588235294117652</v>
      </c>
      <c r="J3696" t="s">
        <v>167</v>
      </c>
      <c r="K3696">
        <v>268</v>
      </c>
      <c r="M3696">
        <f t="shared" si="1248"/>
        <v>63.058823529411761</v>
      </c>
      <c r="N3696">
        <f t="shared" si="1249"/>
        <v>7.5294117647058911</v>
      </c>
    </row>
    <row r="3697" spans="1:14" x14ac:dyDescent="0.25">
      <c r="A3697">
        <v>377</v>
      </c>
      <c r="B3697" s="1">
        <v>44132</v>
      </c>
      <c r="C3697" t="str">
        <f t="shared" si="1247"/>
        <v>octubre</v>
      </c>
      <c r="D3697" t="s">
        <v>15</v>
      </c>
      <c r="F3697" t="s">
        <v>29</v>
      </c>
      <c r="G3697">
        <f>4/9</f>
        <v>0.44444444444444442</v>
      </c>
      <c r="H3697">
        <v>240</v>
      </c>
      <c r="I3697">
        <f t="shared" si="1246"/>
        <v>106.66666666666666</v>
      </c>
      <c r="J3697" t="s">
        <v>163</v>
      </c>
      <c r="K3697">
        <v>212</v>
      </c>
      <c r="M3697">
        <f t="shared" si="1248"/>
        <v>94.222222222222214</v>
      </c>
      <c r="N3697">
        <f t="shared" si="1249"/>
        <v>12.444444444444443</v>
      </c>
    </row>
    <row r="3698" spans="1:14" x14ac:dyDescent="0.25">
      <c r="A3698">
        <v>378</v>
      </c>
      <c r="B3698" s="1">
        <v>44132</v>
      </c>
      <c r="C3698" t="str">
        <f t="shared" si="1247"/>
        <v>octubre</v>
      </c>
      <c r="D3698" t="s">
        <v>25</v>
      </c>
      <c r="F3698" t="s">
        <v>127</v>
      </c>
      <c r="G3698">
        <v>1</v>
      </c>
      <c r="H3698">
        <v>60</v>
      </c>
      <c r="I3698">
        <f t="shared" si="1246"/>
        <v>60</v>
      </c>
      <c r="J3698" t="s">
        <v>165</v>
      </c>
      <c r="K3698">
        <v>34</v>
      </c>
      <c r="M3698">
        <f t="shared" si="1248"/>
        <v>34</v>
      </c>
      <c r="N3698">
        <f t="shared" si="1249"/>
        <v>26</v>
      </c>
    </row>
    <row r="3699" spans="1:14" x14ac:dyDescent="0.25">
      <c r="A3699">
        <v>379</v>
      </c>
      <c r="B3699" s="1">
        <v>44132</v>
      </c>
      <c r="C3699" t="str">
        <f t="shared" si="1247"/>
        <v>octubre</v>
      </c>
      <c r="D3699" t="s">
        <v>56</v>
      </c>
      <c r="F3699" t="s">
        <v>267</v>
      </c>
      <c r="G3699">
        <v>8</v>
      </c>
      <c r="H3699">
        <v>170</v>
      </c>
      <c r="I3699">
        <f t="shared" si="1246"/>
        <v>1360</v>
      </c>
      <c r="J3699" t="s">
        <v>163</v>
      </c>
      <c r="K3699">
        <v>125</v>
      </c>
      <c r="M3699">
        <f t="shared" si="1248"/>
        <v>1000</v>
      </c>
      <c r="N3699">
        <f t="shared" si="1249"/>
        <v>360</v>
      </c>
    </row>
    <row r="3700" spans="1:14" x14ac:dyDescent="0.25">
      <c r="A3700">
        <v>380</v>
      </c>
      <c r="B3700" s="1">
        <v>44132</v>
      </c>
      <c r="C3700" t="str">
        <f t="shared" si="1247"/>
        <v>octubre</v>
      </c>
      <c r="D3700" t="s">
        <v>25</v>
      </c>
      <c r="F3700" t="s">
        <v>57</v>
      </c>
      <c r="G3700">
        <v>5</v>
      </c>
      <c r="H3700">
        <v>60</v>
      </c>
      <c r="I3700">
        <f t="shared" si="1246"/>
        <v>300</v>
      </c>
      <c r="J3700" t="s">
        <v>165</v>
      </c>
      <c r="K3700">
        <v>34</v>
      </c>
      <c r="M3700">
        <f t="shared" si="1248"/>
        <v>170</v>
      </c>
      <c r="N3700">
        <f t="shared" si="1249"/>
        <v>130</v>
      </c>
    </row>
    <row r="3701" spans="1:14" x14ac:dyDescent="0.25">
      <c r="A3701">
        <v>381</v>
      </c>
      <c r="B3701" s="1">
        <v>44132</v>
      </c>
      <c r="C3701" t="str">
        <f t="shared" si="1247"/>
        <v>octubre</v>
      </c>
      <c r="D3701" t="s">
        <v>24</v>
      </c>
      <c r="F3701" t="s">
        <v>24</v>
      </c>
      <c r="G3701">
        <v>6.4</v>
      </c>
      <c r="H3701">
        <v>100</v>
      </c>
      <c r="I3701">
        <f t="shared" si="1246"/>
        <v>640</v>
      </c>
      <c r="J3701" t="s">
        <v>186</v>
      </c>
      <c r="K3701">
        <v>80</v>
      </c>
      <c r="M3701">
        <f t="shared" si="1248"/>
        <v>512</v>
      </c>
      <c r="N3701">
        <f t="shared" si="1249"/>
        <v>128</v>
      </c>
    </row>
    <row r="3702" spans="1:14" x14ac:dyDescent="0.25">
      <c r="A3702">
        <v>382</v>
      </c>
      <c r="B3702" s="1">
        <v>44132</v>
      </c>
      <c r="C3702" t="str">
        <f t="shared" si="1247"/>
        <v>octubre</v>
      </c>
      <c r="D3702" t="s">
        <v>55</v>
      </c>
      <c r="F3702" t="s">
        <v>533</v>
      </c>
      <c r="G3702">
        <v>10.5</v>
      </c>
      <c r="H3702">
        <v>300</v>
      </c>
      <c r="I3702">
        <f t="shared" si="1246"/>
        <v>3150</v>
      </c>
      <c r="J3702" t="s">
        <v>163</v>
      </c>
      <c r="K3702">
        <v>272</v>
      </c>
      <c r="M3702">
        <f t="shared" si="1248"/>
        <v>2856</v>
      </c>
      <c r="N3702">
        <f t="shared" si="1249"/>
        <v>294</v>
      </c>
    </row>
    <row r="3703" spans="1:14" x14ac:dyDescent="0.25">
      <c r="A3703">
        <v>383</v>
      </c>
      <c r="B3703" s="1">
        <v>44133</v>
      </c>
      <c r="C3703" t="str">
        <f t="shared" si="1247"/>
        <v>octubre</v>
      </c>
      <c r="D3703" t="s">
        <v>25</v>
      </c>
      <c r="F3703" t="s">
        <v>83</v>
      </c>
      <c r="G3703">
        <v>1</v>
      </c>
      <c r="H3703">
        <v>60</v>
      </c>
      <c r="I3703">
        <f t="shared" si="1246"/>
        <v>60</v>
      </c>
      <c r="J3703" t="s">
        <v>165</v>
      </c>
      <c r="K3703">
        <v>34</v>
      </c>
      <c r="M3703">
        <f t="shared" si="1248"/>
        <v>34</v>
      </c>
      <c r="N3703">
        <f t="shared" si="1249"/>
        <v>26</v>
      </c>
    </row>
    <row r="3704" spans="1:14" x14ac:dyDescent="0.25">
      <c r="A3704">
        <v>384</v>
      </c>
      <c r="B3704" s="1">
        <v>44133</v>
      </c>
      <c r="C3704" t="str">
        <f t="shared" si="1247"/>
        <v>octubre</v>
      </c>
      <c r="D3704" t="s">
        <v>55</v>
      </c>
      <c r="F3704" t="s">
        <v>416</v>
      </c>
      <c r="G3704">
        <v>1</v>
      </c>
      <c r="H3704">
        <v>270</v>
      </c>
      <c r="I3704">
        <f t="shared" si="1246"/>
        <v>270</v>
      </c>
      <c r="J3704" t="s">
        <v>167</v>
      </c>
      <c r="K3704">
        <v>207</v>
      </c>
      <c r="M3704">
        <f t="shared" si="1248"/>
        <v>207</v>
      </c>
      <c r="N3704">
        <f t="shared" si="1249"/>
        <v>63</v>
      </c>
    </row>
    <row r="3705" spans="1:14" x14ac:dyDescent="0.25">
      <c r="A3705">
        <v>385</v>
      </c>
      <c r="B3705" s="1">
        <v>44133</v>
      </c>
      <c r="C3705" t="str">
        <f t="shared" si="1247"/>
        <v>octubre</v>
      </c>
      <c r="D3705" t="s">
        <v>26</v>
      </c>
      <c r="F3705" t="s">
        <v>532</v>
      </c>
      <c r="G3705">
        <f>2/4*1.44</f>
        <v>0.72</v>
      </c>
      <c r="H3705">
        <v>380</v>
      </c>
      <c r="I3705">
        <f t="shared" si="1246"/>
        <v>273.59999999999997</v>
      </c>
      <c r="J3705" t="s">
        <v>99</v>
      </c>
      <c r="K3705">
        <v>341</v>
      </c>
      <c r="M3705">
        <f t="shared" si="1248"/>
        <v>245.51999999999998</v>
      </c>
      <c r="N3705">
        <f t="shared" si="1249"/>
        <v>28.079999999999984</v>
      </c>
    </row>
    <row r="3706" spans="1:14" x14ac:dyDescent="0.25">
      <c r="A3706">
        <v>386</v>
      </c>
      <c r="B3706" s="1">
        <v>44133</v>
      </c>
      <c r="C3706" t="str">
        <f t="shared" si="1247"/>
        <v>octubre</v>
      </c>
      <c r="D3706" t="s">
        <v>15</v>
      </c>
      <c r="F3706" t="s">
        <v>517</v>
      </c>
      <c r="G3706">
        <f>1/10</f>
        <v>0.1</v>
      </c>
      <c r="H3706">
        <v>250</v>
      </c>
      <c r="I3706">
        <f t="shared" si="1246"/>
        <v>25</v>
      </c>
      <c r="J3706" t="s">
        <v>167</v>
      </c>
      <c r="K3706">
        <v>219</v>
      </c>
      <c r="M3706">
        <f t="shared" si="1248"/>
        <v>21.900000000000002</v>
      </c>
      <c r="N3706">
        <f t="shared" si="1249"/>
        <v>3.0999999999999979</v>
      </c>
    </row>
    <row r="3707" spans="1:14" x14ac:dyDescent="0.25">
      <c r="A3707">
        <v>387</v>
      </c>
      <c r="B3707" s="1">
        <v>44133</v>
      </c>
      <c r="C3707" t="str">
        <f t="shared" si="1247"/>
        <v>octubre</v>
      </c>
      <c r="D3707" t="s">
        <v>56</v>
      </c>
      <c r="F3707" t="s">
        <v>267</v>
      </c>
      <c r="G3707">
        <v>2</v>
      </c>
      <c r="H3707">
        <v>160</v>
      </c>
      <c r="I3707">
        <f t="shared" si="1246"/>
        <v>320</v>
      </c>
      <c r="J3707" t="s">
        <v>163</v>
      </c>
      <c r="K3707">
        <v>125</v>
      </c>
      <c r="M3707">
        <f t="shared" si="1248"/>
        <v>250</v>
      </c>
      <c r="N3707">
        <f t="shared" si="1249"/>
        <v>70</v>
      </c>
    </row>
    <row r="3708" spans="1:14" x14ac:dyDescent="0.25">
      <c r="A3708">
        <v>388</v>
      </c>
      <c r="B3708" s="1">
        <v>44133</v>
      </c>
      <c r="C3708" t="str">
        <f t="shared" si="1247"/>
        <v>octubre</v>
      </c>
      <c r="D3708" t="s">
        <v>55</v>
      </c>
      <c r="F3708" t="s">
        <v>423</v>
      </c>
      <c r="G3708">
        <v>1.5</v>
      </c>
      <c r="H3708">
        <v>270</v>
      </c>
      <c r="I3708">
        <f t="shared" si="1246"/>
        <v>405</v>
      </c>
      <c r="J3708" t="s">
        <v>167</v>
      </c>
      <c r="K3708">
        <v>207</v>
      </c>
      <c r="M3708">
        <f t="shared" si="1248"/>
        <v>310.5</v>
      </c>
      <c r="N3708">
        <f t="shared" si="1249"/>
        <v>94.5</v>
      </c>
    </row>
    <row r="3709" spans="1:14" x14ac:dyDescent="0.25">
      <c r="A3709">
        <v>389</v>
      </c>
      <c r="B3709" s="1">
        <v>44133</v>
      </c>
      <c r="C3709" t="str">
        <f t="shared" si="1247"/>
        <v>octubre</v>
      </c>
      <c r="D3709" t="s">
        <v>25</v>
      </c>
      <c r="F3709" t="s">
        <v>127</v>
      </c>
      <c r="G3709">
        <v>8</v>
      </c>
      <c r="H3709">
        <v>60</v>
      </c>
      <c r="I3709">
        <f t="shared" si="1246"/>
        <v>480</v>
      </c>
      <c r="J3709" t="s">
        <v>165</v>
      </c>
      <c r="K3709">
        <v>34</v>
      </c>
      <c r="M3709">
        <f t="shared" si="1248"/>
        <v>272</v>
      </c>
      <c r="N3709">
        <f t="shared" si="1249"/>
        <v>208</v>
      </c>
    </row>
    <row r="3710" spans="1:14" x14ac:dyDescent="0.25">
      <c r="A3710">
        <v>390</v>
      </c>
      <c r="B3710" s="1">
        <v>44133</v>
      </c>
      <c r="C3710" t="str">
        <f t="shared" si="1247"/>
        <v>octubre</v>
      </c>
      <c r="D3710" t="s">
        <v>56</v>
      </c>
      <c r="F3710" t="s">
        <v>267</v>
      </c>
      <c r="G3710">
        <v>8</v>
      </c>
      <c r="H3710">
        <v>155</v>
      </c>
      <c r="I3710">
        <f t="shared" si="1246"/>
        <v>1240</v>
      </c>
      <c r="J3710" t="s">
        <v>163</v>
      </c>
      <c r="K3710">
        <v>125</v>
      </c>
      <c r="M3710">
        <f t="shared" si="1248"/>
        <v>1000</v>
      </c>
      <c r="N3710">
        <f t="shared" si="1249"/>
        <v>240</v>
      </c>
    </row>
    <row r="3711" spans="1:14" x14ac:dyDescent="0.25">
      <c r="A3711">
        <v>391</v>
      </c>
      <c r="B3711" s="1">
        <v>44133</v>
      </c>
      <c r="C3711" t="str">
        <f t="shared" si="1247"/>
        <v>octubre</v>
      </c>
      <c r="D3711" t="s">
        <v>15</v>
      </c>
      <c r="F3711" t="s">
        <v>29</v>
      </c>
      <c r="G3711">
        <v>16</v>
      </c>
      <c r="H3711">
        <v>240</v>
      </c>
      <c r="I3711">
        <f t="shared" si="1246"/>
        <v>3840</v>
      </c>
      <c r="J3711" t="s">
        <v>163</v>
      </c>
      <c r="K3711">
        <v>212</v>
      </c>
      <c r="M3711">
        <f t="shared" si="1248"/>
        <v>3392</v>
      </c>
      <c r="N3711">
        <f t="shared" si="1249"/>
        <v>448</v>
      </c>
    </row>
    <row r="3712" spans="1:14" x14ac:dyDescent="0.25">
      <c r="A3712">
        <v>392</v>
      </c>
      <c r="B3712" s="1">
        <v>44133</v>
      </c>
      <c r="C3712" t="str">
        <f t="shared" si="1247"/>
        <v>octubre</v>
      </c>
      <c r="D3712" t="s">
        <v>70</v>
      </c>
      <c r="F3712" t="s">
        <v>227</v>
      </c>
      <c r="G3712">
        <v>1</v>
      </c>
      <c r="H3712">
        <v>1650</v>
      </c>
      <c r="I3712">
        <f t="shared" si="1246"/>
        <v>1650</v>
      </c>
      <c r="J3712" t="s">
        <v>167</v>
      </c>
      <c r="K3712">
        <v>1440</v>
      </c>
      <c r="M3712">
        <f t="shared" si="1248"/>
        <v>1440</v>
      </c>
      <c r="N3712">
        <f t="shared" si="1249"/>
        <v>210</v>
      </c>
    </row>
    <row r="3713" spans="1:14" x14ac:dyDescent="0.25">
      <c r="A3713">
        <v>393</v>
      </c>
      <c r="B3713" s="1">
        <v>44133</v>
      </c>
      <c r="C3713" t="str">
        <f t="shared" si="1247"/>
        <v>octubre</v>
      </c>
      <c r="D3713" t="s">
        <v>26</v>
      </c>
      <c r="F3713" t="s">
        <v>532</v>
      </c>
      <c r="G3713">
        <v>6.5</v>
      </c>
      <c r="H3713">
        <v>380</v>
      </c>
      <c r="I3713">
        <f t="shared" si="1246"/>
        <v>2470</v>
      </c>
      <c r="J3713" t="s">
        <v>99</v>
      </c>
      <c r="K3713">
        <v>341</v>
      </c>
      <c r="M3713">
        <f t="shared" si="1248"/>
        <v>2216.5</v>
      </c>
      <c r="N3713">
        <f t="shared" si="1249"/>
        <v>253.5</v>
      </c>
    </row>
    <row r="3714" spans="1:14" x14ac:dyDescent="0.25">
      <c r="A3714">
        <v>394</v>
      </c>
      <c r="B3714" s="1">
        <v>44133</v>
      </c>
      <c r="C3714" t="str">
        <f t="shared" si="1247"/>
        <v>octubre</v>
      </c>
      <c r="D3714" t="s">
        <v>25</v>
      </c>
      <c r="F3714" t="s">
        <v>128</v>
      </c>
      <c r="G3714">
        <v>2</v>
      </c>
      <c r="H3714">
        <v>60</v>
      </c>
      <c r="I3714">
        <f t="shared" si="1246"/>
        <v>120</v>
      </c>
      <c r="J3714" t="s">
        <v>165</v>
      </c>
      <c r="K3714">
        <v>34</v>
      </c>
      <c r="M3714">
        <f t="shared" si="1248"/>
        <v>68</v>
      </c>
      <c r="N3714">
        <f t="shared" si="1249"/>
        <v>52</v>
      </c>
    </row>
    <row r="3715" spans="1:14" x14ac:dyDescent="0.25">
      <c r="A3715">
        <v>395</v>
      </c>
      <c r="B3715" s="1">
        <v>44134</v>
      </c>
      <c r="C3715" t="str">
        <f t="shared" si="1247"/>
        <v>octubre</v>
      </c>
      <c r="D3715" t="s">
        <v>78</v>
      </c>
      <c r="F3715" t="s">
        <v>534</v>
      </c>
      <c r="G3715">
        <v>1</v>
      </c>
      <c r="H3715">
        <v>700</v>
      </c>
      <c r="I3715">
        <f t="shared" si="1246"/>
        <v>700</v>
      </c>
      <c r="J3715" t="s">
        <v>198</v>
      </c>
      <c r="K3715">
        <v>500</v>
      </c>
      <c r="M3715">
        <f t="shared" si="1248"/>
        <v>500</v>
      </c>
      <c r="N3715">
        <f t="shared" si="1249"/>
        <v>200</v>
      </c>
    </row>
    <row r="3716" spans="1:14" x14ac:dyDescent="0.25">
      <c r="A3716">
        <v>396</v>
      </c>
      <c r="B3716" s="1">
        <v>44134</v>
      </c>
      <c r="C3716" t="str">
        <f t="shared" si="1247"/>
        <v>octubre</v>
      </c>
      <c r="D3716" t="s">
        <v>15</v>
      </c>
      <c r="F3716" t="s">
        <v>356</v>
      </c>
      <c r="G3716">
        <v>14</v>
      </c>
      <c r="H3716">
        <v>240</v>
      </c>
      <c r="I3716">
        <f t="shared" si="1246"/>
        <v>3360</v>
      </c>
      <c r="J3716" t="s">
        <v>167</v>
      </c>
      <c r="K3716">
        <v>207</v>
      </c>
      <c r="M3716">
        <f t="shared" si="1248"/>
        <v>2898</v>
      </c>
      <c r="N3716">
        <f t="shared" si="1249"/>
        <v>462</v>
      </c>
    </row>
    <row r="3717" spans="1:14" x14ac:dyDescent="0.25">
      <c r="A3717">
        <v>397</v>
      </c>
      <c r="B3717" s="1">
        <v>44134</v>
      </c>
      <c r="C3717" t="str">
        <f t="shared" si="1247"/>
        <v>octubre</v>
      </c>
      <c r="D3717" t="s">
        <v>25</v>
      </c>
      <c r="F3717" t="s">
        <v>506</v>
      </c>
      <c r="G3717">
        <v>2</v>
      </c>
      <c r="H3717">
        <v>60</v>
      </c>
      <c r="I3717">
        <f t="shared" si="1246"/>
        <v>120</v>
      </c>
      <c r="J3717" t="s">
        <v>165</v>
      </c>
      <c r="K3717">
        <v>34</v>
      </c>
      <c r="M3717">
        <f t="shared" si="1248"/>
        <v>68</v>
      </c>
      <c r="N3717">
        <f t="shared" si="1249"/>
        <v>52</v>
      </c>
    </row>
    <row r="3718" spans="1:14" x14ac:dyDescent="0.25">
      <c r="A3718">
        <v>398</v>
      </c>
      <c r="B3718" s="1">
        <v>44134</v>
      </c>
      <c r="C3718" t="str">
        <f t="shared" si="1247"/>
        <v>octubre</v>
      </c>
      <c r="D3718" t="s">
        <v>56</v>
      </c>
      <c r="F3718" t="s">
        <v>236</v>
      </c>
      <c r="G3718">
        <v>5</v>
      </c>
      <c r="H3718">
        <v>120</v>
      </c>
      <c r="I3718">
        <f t="shared" si="1246"/>
        <v>600</v>
      </c>
      <c r="J3718" t="s">
        <v>165</v>
      </c>
      <c r="K3718">
        <v>83</v>
      </c>
      <c r="M3718">
        <f t="shared" si="1248"/>
        <v>415</v>
      </c>
      <c r="N3718">
        <f t="shared" si="1249"/>
        <v>185</v>
      </c>
    </row>
    <row r="3719" spans="1:14" x14ac:dyDescent="0.25">
      <c r="A3719">
        <v>399</v>
      </c>
      <c r="B3719" s="1">
        <v>44134</v>
      </c>
      <c r="C3719" t="str">
        <f t="shared" si="1247"/>
        <v>octubre</v>
      </c>
      <c r="D3719" t="s">
        <v>15</v>
      </c>
      <c r="F3719" t="s">
        <v>21</v>
      </c>
      <c r="G3719">
        <v>2</v>
      </c>
      <c r="H3719">
        <v>300</v>
      </c>
      <c r="I3719">
        <f t="shared" si="1246"/>
        <v>600</v>
      </c>
      <c r="J3719" t="s">
        <v>167</v>
      </c>
      <c r="K3719">
        <v>268</v>
      </c>
      <c r="M3719">
        <f t="shared" si="1248"/>
        <v>536</v>
      </c>
      <c r="N3719">
        <f t="shared" si="1249"/>
        <v>64</v>
      </c>
    </row>
    <row r="3720" spans="1:14" x14ac:dyDescent="0.25">
      <c r="A3720">
        <v>400</v>
      </c>
      <c r="B3720" s="1">
        <v>44134</v>
      </c>
      <c r="C3720" t="str">
        <f t="shared" si="1247"/>
        <v>octubre</v>
      </c>
      <c r="D3720" t="s">
        <v>26</v>
      </c>
      <c r="F3720" t="s">
        <v>532</v>
      </c>
      <c r="G3720">
        <v>140</v>
      </c>
      <c r="H3720">
        <v>370</v>
      </c>
      <c r="I3720">
        <f t="shared" si="1246"/>
        <v>51800</v>
      </c>
      <c r="J3720" t="s">
        <v>99</v>
      </c>
      <c r="K3720">
        <v>341</v>
      </c>
      <c r="M3720">
        <f t="shared" si="1248"/>
        <v>47740</v>
      </c>
      <c r="N3720">
        <f t="shared" si="1249"/>
        <v>4060</v>
      </c>
    </row>
    <row r="3721" spans="1:14" x14ac:dyDescent="0.25">
      <c r="A3721">
        <v>401</v>
      </c>
      <c r="B3721" s="1">
        <v>44134</v>
      </c>
      <c r="C3721" t="str">
        <f t="shared" si="1247"/>
        <v>octubre</v>
      </c>
      <c r="D3721" t="s">
        <v>25</v>
      </c>
      <c r="F3721" t="s">
        <v>128</v>
      </c>
      <c r="G3721">
        <v>15</v>
      </c>
      <c r="H3721">
        <v>60</v>
      </c>
      <c r="I3721">
        <f t="shared" si="1246"/>
        <v>900</v>
      </c>
      <c r="J3721" t="s">
        <v>165</v>
      </c>
      <c r="K3721">
        <v>34</v>
      </c>
      <c r="M3721">
        <f t="shared" si="1248"/>
        <v>510</v>
      </c>
      <c r="N3721">
        <f t="shared" si="1249"/>
        <v>390</v>
      </c>
    </row>
    <row r="3722" spans="1:14" x14ac:dyDescent="0.25">
      <c r="A3722">
        <v>402</v>
      </c>
      <c r="B3722" s="1">
        <v>44134</v>
      </c>
      <c r="C3722" t="str">
        <f t="shared" si="1247"/>
        <v>octubre</v>
      </c>
      <c r="D3722" t="s">
        <v>44</v>
      </c>
      <c r="F3722" t="s">
        <v>412</v>
      </c>
      <c r="G3722">
        <v>4</v>
      </c>
      <c r="H3722">
        <v>35</v>
      </c>
      <c r="I3722">
        <f t="shared" ref="I3722:I3785" si="1250">+G3722*H3722</f>
        <v>140</v>
      </c>
      <c r="J3722" t="s">
        <v>166</v>
      </c>
      <c r="K3722">
        <v>20</v>
      </c>
      <c r="M3722">
        <f t="shared" si="1248"/>
        <v>80</v>
      </c>
      <c r="N3722">
        <f t="shared" si="1249"/>
        <v>60</v>
      </c>
    </row>
    <row r="3723" spans="1:14" x14ac:dyDescent="0.25">
      <c r="A3723">
        <v>403</v>
      </c>
      <c r="B3723" s="1">
        <v>44134</v>
      </c>
      <c r="C3723" t="str">
        <f t="shared" si="1247"/>
        <v>octubre</v>
      </c>
      <c r="D3723" t="s">
        <v>25</v>
      </c>
      <c r="F3723" t="s">
        <v>57</v>
      </c>
      <c r="G3723">
        <v>1</v>
      </c>
      <c r="H3723">
        <v>60</v>
      </c>
      <c r="I3723">
        <f t="shared" si="1250"/>
        <v>60</v>
      </c>
      <c r="J3723" t="s">
        <v>165</v>
      </c>
      <c r="K3723">
        <v>34</v>
      </c>
      <c r="M3723">
        <f t="shared" si="1248"/>
        <v>34</v>
      </c>
      <c r="N3723">
        <f t="shared" si="1249"/>
        <v>26</v>
      </c>
    </row>
    <row r="3724" spans="1:14" x14ac:dyDescent="0.25">
      <c r="A3724">
        <v>404</v>
      </c>
      <c r="B3724" s="1">
        <v>44134</v>
      </c>
      <c r="C3724" t="str">
        <f t="shared" si="1247"/>
        <v>octubre</v>
      </c>
      <c r="D3724" t="s">
        <v>44</v>
      </c>
      <c r="F3724" t="s">
        <v>412</v>
      </c>
      <c r="G3724">
        <v>1</v>
      </c>
      <c r="H3724">
        <v>35</v>
      </c>
      <c r="I3724">
        <f t="shared" si="1250"/>
        <v>35</v>
      </c>
      <c r="J3724" t="s">
        <v>166</v>
      </c>
      <c r="K3724">
        <v>20</v>
      </c>
      <c r="M3724">
        <f t="shared" si="1248"/>
        <v>20</v>
      </c>
      <c r="N3724">
        <f t="shared" si="1249"/>
        <v>15</v>
      </c>
    </row>
    <row r="3725" spans="1:14" x14ac:dyDescent="0.25">
      <c r="A3725">
        <v>405</v>
      </c>
      <c r="B3725" s="1">
        <v>44134</v>
      </c>
      <c r="C3725" t="str">
        <f t="shared" si="1247"/>
        <v>octubre</v>
      </c>
      <c r="D3725" t="s">
        <v>55</v>
      </c>
      <c r="F3725" t="s">
        <v>533</v>
      </c>
      <c r="G3725">
        <v>1.5</v>
      </c>
      <c r="H3725">
        <v>300</v>
      </c>
      <c r="I3725">
        <f t="shared" si="1250"/>
        <v>450</v>
      </c>
      <c r="J3725" t="s">
        <v>163</v>
      </c>
      <c r="K3725">
        <v>272</v>
      </c>
      <c r="M3725">
        <f t="shared" si="1248"/>
        <v>408</v>
      </c>
      <c r="N3725">
        <f t="shared" si="1249"/>
        <v>42</v>
      </c>
    </row>
    <row r="3726" spans="1:14" x14ac:dyDescent="0.25">
      <c r="A3726">
        <v>406</v>
      </c>
      <c r="B3726" s="1">
        <v>44134</v>
      </c>
      <c r="C3726" t="str">
        <f t="shared" si="1247"/>
        <v>octubre</v>
      </c>
      <c r="D3726" t="s">
        <v>25</v>
      </c>
      <c r="F3726" t="s">
        <v>58</v>
      </c>
      <c r="G3726">
        <v>1</v>
      </c>
      <c r="H3726">
        <v>60</v>
      </c>
      <c r="I3726">
        <f t="shared" si="1250"/>
        <v>60</v>
      </c>
      <c r="J3726" t="s">
        <v>165</v>
      </c>
      <c r="K3726">
        <v>34</v>
      </c>
      <c r="M3726">
        <f t="shared" si="1248"/>
        <v>34</v>
      </c>
      <c r="N3726">
        <f t="shared" si="1249"/>
        <v>26</v>
      </c>
    </row>
    <row r="3727" spans="1:14" x14ac:dyDescent="0.25">
      <c r="A3727">
        <v>407</v>
      </c>
      <c r="B3727" s="1">
        <v>44134</v>
      </c>
      <c r="C3727" t="str">
        <f t="shared" si="1247"/>
        <v>octubre</v>
      </c>
      <c r="D3727" t="s">
        <v>25</v>
      </c>
      <c r="F3727" t="s">
        <v>72</v>
      </c>
      <c r="G3727">
        <v>1</v>
      </c>
      <c r="H3727">
        <v>60</v>
      </c>
      <c r="I3727">
        <f t="shared" si="1250"/>
        <v>60</v>
      </c>
      <c r="J3727" t="s">
        <v>165</v>
      </c>
      <c r="K3727">
        <v>34</v>
      </c>
      <c r="M3727">
        <f t="shared" si="1248"/>
        <v>34</v>
      </c>
      <c r="N3727">
        <f t="shared" si="1249"/>
        <v>26</v>
      </c>
    </row>
    <row r="3728" spans="1:14" x14ac:dyDescent="0.25">
      <c r="A3728">
        <v>408</v>
      </c>
      <c r="B3728" s="1">
        <v>44134</v>
      </c>
      <c r="C3728" t="str">
        <f t="shared" si="1247"/>
        <v>octubre</v>
      </c>
      <c r="D3728" t="s">
        <v>15</v>
      </c>
      <c r="F3728" t="s">
        <v>34</v>
      </c>
      <c r="G3728">
        <f>2/9</f>
        <v>0.22222222222222221</v>
      </c>
      <c r="H3728">
        <v>290</v>
      </c>
      <c r="I3728">
        <f t="shared" si="1250"/>
        <v>64.444444444444443</v>
      </c>
      <c r="J3728" t="s">
        <v>163</v>
      </c>
      <c r="K3728">
        <v>270</v>
      </c>
      <c r="M3728">
        <f t="shared" si="1248"/>
        <v>60</v>
      </c>
      <c r="N3728">
        <f t="shared" si="1249"/>
        <v>4.4444444444444429</v>
      </c>
    </row>
    <row r="3729" spans="1:14" x14ac:dyDescent="0.25">
      <c r="A3729">
        <v>409</v>
      </c>
      <c r="B3729" s="1">
        <v>44134</v>
      </c>
      <c r="C3729" t="str">
        <f t="shared" si="1247"/>
        <v>octubre</v>
      </c>
      <c r="D3729" t="s">
        <v>25</v>
      </c>
      <c r="F3729" t="s">
        <v>148</v>
      </c>
      <c r="G3729">
        <v>3</v>
      </c>
      <c r="H3729">
        <v>60</v>
      </c>
      <c r="I3729">
        <f t="shared" si="1250"/>
        <v>180</v>
      </c>
      <c r="J3729" t="s">
        <v>165</v>
      </c>
      <c r="K3729">
        <v>34</v>
      </c>
      <c r="M3729">
        <f t="shared" si="1248"/>
        <v>102</v>
      </c>
      <c r="N3729">
        <f t="shared" si="1249"/>
        <v>78</v>
      </c>
    </row>
    <row r="3730" spans="1:14" x14ac:dyDescent="0.25">
      <c r="A3730">
        <v>410</v>
      </c>
      <c r="B3730" s="1">
        <v>44134</v>
      </c>
      <c r="C3730" t="str">
        <f t="shared" si="1247"/>
        <v>octubre</v>
      </c>
      <c r="D3730" t="s">
        <v>25</v>
      </c>
      <c r="F3730" t="s">
        <v>128</v>
      </c>
      <c r="G3730">
        <v>1</v>
      </c>
      <c r="H3730">
        <v>60</v>
      </c>
      <c r="I3730">
        <f t="shared" si="1250"/>
        <v>60</v>
      </c>
      <c r="J3730" t="s">
        <v>165</v>
      </c>
      <c r="K3730">
        <v>34</v>
      </c>
      <c r="M3730">
        <f t="shared" si="1248"/>
        <v>34</v>
      </c>
      <c r="N3730">
        <f t="shared" si="1249"/>
        <v>26</v>
      </c>
    </row>
    <row r="3731" spans="1:14" x14ac:dyDescent="0.25">
      <c r="A3731">
        <v>411</v>
      </c>
      <c r="B3731" s="1">
        <v>44134</v>
      </c>
      <c r="C3731" t="str">
        <f t="shared" si="1247"/>
        <v>octubre</v>
      </c>
      <c r="D3731" t="s">
        <v>15</v>
      </c>
      <c r="F3731" t="s">
        <v>29</v>
      </c>
      <c r="G3731">
        <v>14</v>
      </c>
      <c r="H3731">
        <v>240</v>
      </c>
      <c r="I3731">
        <f t="shared" si="1250"/>
        <v>3360</v>
      </c>
      <c r="J3731" t="s">
        <v>163</v>
      </c>
      <c r="K3731">
        <v>212</v>
      </c>
      <c r="M3731">
        <f t="shared" si="1248"/>
        <v>2968</v>
      </c>
      <c r="N3731">
        <f t="shared" si="1249"/>
        <v>392</v>
      </c>
    </row>
    <row r="3732" spans="1:14" x14ac:dyDescent="0.25">
      <c r="A3732">
        <v>412</v>
      </c>
      <c r="B3732" s="1">
        <v>44134</v>
      </c>
      <c r="C3732" t="str">
        <f t="shared" si="1247"/>
        <v>octubre</v>
      </c>
      <c r="D3732" t="s">
        <v>56</v>
      </c>
      <c r="F3732" t="s">
        <v>267</v>
      </c>
      <c r="G3732">
        <v>3</v>
      </c>
      <c r="H3732">
        <v>155</v>
      </c>
      <c r="I3732">
        <f t="shared" si="1250"/>
        <v>465</v>
      </c>
      <c r="J3732" t="s">
        <v>163</v>
      </c>
      <c r="K3732">
        <v>125</v>
      </c>
      <c r="M3732">
        <f t="shared" si="1248"/>
        <v>375</v>
      </c>
      <c r="N3732">
        <f t="shared" si="1249"/>
        <v>90</v>
      </c>
    </row>
    <row r="3733" spans="1:14" x14ac:dyDescent="0.25">
      <c r="A3733">
        <v>413</v>
      </c>
      <c r="B3733" s="1">
        <v>44134</v>
      </c>
      <c r="C3733" t="str">
        <f t="shared" si="1247"/>
        <v>octubre</v>
      </c>
      <c r="D3733" t="s">
        <v>44</v>
      </c>
      <c r="F3733" t="s">
        <v>138</v>
      </c>
      <c r="G3733">
        <v>1</v>
      </c>
      <c r="H3733">
        <v>35</v>
      </c>
      <c r="I3733">
        <f t="shared" si="1250"/>
        <v>35</v>
      </c>
      <c r="J3733" t="s">
        <v>166</v>
      </c>
      <c r="K3733">
        <v>26</v>
      </c>
      <c r="M3733">
        <f t="shared" si="1248"/>
        <v>26</v>
      </c>
      <c r="N3733">
        <f t="shared" si="1249"/>
        <v>9</v>
      </c>
    </row>
    <row r="3734" spans="1:14" x14ac:dyDescent="0.25">
      <c r="A3734">
        <v>414</v>
      </c>
      <c r="B3734" s="1">
        <v>44134</v>
      </c>
      <c r="C3734" t="str">
        <f t="shared" si="1247"/>
        <v>octubre</v>
      </c>
      <c r="D3734" t="s">
        <v>15</v>
      </c>
      <c r="F3734" t="s">
        <v>20</v>
      </c>
      <c r="G3734">
        <v>5</v>
      </c>
      <c r="H3734">
        <v>270</v>
      </c>
      <c r="I3734">
        <f t="shared" si="1250"/>
        <v>1350</v>
      </c>
      <c r="J3734" t="s">
        <v>163</v>
      </c>
      <c r="K3734">
        <v>232</v>
      </c>
      <c r="M3734">
        <f t="shared" si="1248"/>
        <v>1160</v>
      </c>
      <c r="N3734">
        <f t="shared" si="1249"/>
        <v>190</v>
      </c>
    </row>
    <row r="3735" spans="1:14" x14ac:dyDescent="0.25">
      <c r="A3735">
        <v>415</v>
      </c>
      <c r="B3735" s="1">
        <v>44134</v>
      </c>
      <c r="C3735" t="str">
        <f t="shared" si="1247"/>
        <v>octubre</v>
      </c>
      <c r="D3735" t="s">
        <v>15</v>
      </c>
      <c r="F3735" t="s">
        <v>20</v>
      </c>
      <c r="G3735">
        <v>5</v>
      </c>
      <c r="H3735">
        <v>270</v>
      </c>
      <c r="I3735">
        <f t="shared" si="1250"/>
        <v>1350</v>
      </c>
      <c r="J3735" t="s">
        <v>163</v>
      </c>
      <c r="K3735">
        <v>232</v>
      </c>
      <c r="M3735">
        <f t="shared" si="1248"/>
        <v>1160</v>
      </c>
      <c r="N3735">
        <f t="shared" si="1249"/>
        <v>190</v>
      </c>
    </row>
    <row r="3736" spans="1:14" x14ac:dyDescent="0.25">
      <c r="A3736">
        <v>416</v>
      </c>
      <c r="B3736" s="1">
        <v>44134</v>
      </c>
      <c r="C3736" t="str">
        <f t="shared" si="1247"/>
        <v>octubre</v>
      </c>
      <c r="D3736" t="s">
        <v>15</v>
      </c>
      <c r="F3736" t="s">
        <v>20</v>
      </c>
      <c r="G3736">
        <v>4.5</v>
      </c>
      <c r="H3736">
        <v>270</v>
      </c>
      <c r="I3736">
        <f t="shared" si="1250"/>
        <v>1215</v>
      </c>
      <c r="J3736" t="s">
        <v>163</v>
      </c>
      <c r="K3736">
        <v>232</v>
      </c>
      <c r="M3736">
        <f t="shared" si="1248"/>
        <v>1044</v>
      </c>
      <c r="N3736">
        <f t="shared" si="1249"/>
        <v>171</v>
      </c>
    </row>
    <row r="3737" spans="1:14" x14ac:dyDescent="0.25">
      <c r="A3737">
        <v>417</v>
      </c>
      <c r="B3737" s="1">
        <v>44135</v>
      </c>
      <c r="C3737" t="str">
        <f t="shared" si="1247"/>
        <v>octubre</v>
      </c>
      <c r="D3737" t="s">
        <v>15</v>
      </c>
      <c r="F3737" t="s">
        <v>490</v>
      </c>
      <c r="G3737">
        <f>6/10</f>
        <v>0.6</v>
      </c>
      <c r="H3737">
        <v>240</v>
      </c>
      <c r="I3737">
        <f t="shared" si="1250"/>
        <v>144</v>
      </c>
      <c r="J3737" t="s">
        <v>167</v>
      </c>
      <c r="K3737">
        <v>207</v>
      </c>
      <c r="M3737">
        <f t="shared" si="1248"/>
        <v>124.19999999999999</v>
      </c>
      <c r="N3737">
        <f t="shared" si="1249"/>
        <v>19.800000000000011</v>
      </c>
    </row>
    <row r="3738" spans="1:14" x14ac:dyDescent="0.25">
      <c r="A3738">
        <v>418</v>
      </c>
      <c r="B3738" s="1">
        <v>44135</v>
      </c>
      <c r="C3738" t="str">
        <f t="shared" si="1247"/>
        <v>octubre</v>
      </c>
      <c r="D3738" t="s">
        <v>15</v>
      </c>
      <c r="F3738" t="s">
        <v>490</v>
      </c>
      <c r="G3738">
        <f>1/10</f>
        <v>0.1</v>
      </c>
      <c r="H3738">
        <v>240</v>
      </c>
      <c r="I3738">
        <f t="shared" si="1250"/>
        <v>24</v>
      </c>
      <c r="J3738" t="s">
        <v>167</v>
      </c>
      <c r="K3738">
        <v>207</v>
      </c>
      <c r="M3738">
        <f t="shared" si="1248"/>
        <v>20.700000000000003</v>
      </c>
      <c r="N3738">
        <f t="shared" si="1249"/>
        <v>3.2999999999999972</v>
      </c>
    </row>
    <row r="3739" spans="1:14" x14ac:dyDescent="0.25">
      <c r="A3739">
        <v>419</v>
      </c>
      <c r="B3739" s="1">
        <v>44135</v>
      </c>
      <c r="C3739" t="str">
        <f t="shared" si="1247"/>
        <v>octubre</v>
      </c>
      <c r="D3739" t="s">
        <v>25</v>
      </c>
      <c r="F3739" t="s">
        <v>57</v>
      </c>
      <c r="G3739">
        <v>1</v>
      </c>
      <c r="H3739">
        <v>60</v>
      </c>
      <c r="I3739">
        <f t="shared" si="1250"/>
        <v>60</v>
      </c>
      <c r="J3739" t="s">
        <v>165</v>
      </c>
      <c r="K3739">
        <v>34</v>
      </c>
      <c r="M3739">
        <f t="shared" si="1248"/>
        <v>34</v>
      </c>
      <c r="N3739">
        <f t="shared" si="1249"/>
        <v>26</v>
      </c>
    </row>
    <row r="3740" spans="1:14" x14ac:dyDescent="0.25">
      <c r="A3740">
        <v>420</v>
      </c>
      <c r="B3740" s="1">
        <v>44135</v>
      </c>
      <c r="C3740" t="str">
        <f t="shared" si="1247"/>
        <v>octubre</v>
      </c>
      <c r="D3740" t="s">
        <v>70</v>
      </c>
      <c r="F3740" t="s">
        <v>227</v>
      </c>
      <c r="G3740">
        <v>1</v>
      </c>
      <c r="H3740">
        <v>1650</v>
      </c>
      <c r="I3740">
        <f t="shared" si="1250"/>
        <v>1650</v>
      </c>
      <c r="J3740" t="s">
        <v>167</v>
      </c>
      <c r="K3740">
        <v>1440</v>
      </c>
      <c r="M3740">
        <f t="shared" si="1248"/>
        <v>1440</v>
      </c>
      <c r="N3740">
        <f t="shared" si="1249"/>
        <v>210</v>
      </c>
    </row>
    <row r="3741" spans="1:14" x14ac:dyDescent="0.25">
      <c r="A3741">
        <v>421</v>
      </c>
      <c r="B3741" s="1">
        <v>44135</v>
      </c>
      <c r="C3741" t="str">
        <f t="shared" si="1247"/>
        <v>octubre</v>
      </c>
      <c r="D3741" t="s">
        <v>15</v>
      </c>
      <c r="F3741" t="s">
        <v>517</v>
      </c>
      <c r="G3741">
        <v>2.8</v>
      </c>
      <c r="H3741">
        <v>250</v>
      </c>
      <c r="I3741">
        <f t="shared" si="1250"/>
        <v>700</v>
      </c>
      <c r="J3741" t="s">
        <v>167</v>
      </c>
      <c r="K3741">
        <v>219</v>
      </c>
      <c r="M3741">
        <f t="shared" si="1248"/>
        <v>613.19999999999993</v>
      </c>
      <c r="N3741">
        <f t="shared" si="1249"/>
        <v>86.800000000000068</v>
      </c>
    </row>
    <row r="3742" spans="1:14" x14ac:dyDescent="0.25">
      <c r="A3742">
        <v>422</v>
      </c>
      <c r="B3742" s="1">
        <v>44135</v>
      </c>
      <c r="C3742" t="str">
        <f t="shared" ref="C3742:C3805" si="1251">+TEXT(B3742,"mmmm")</f>
        <v>octubre</v>
      </c>
      <c r="D3742" t="s">
        <v>15</v>
      </c>
      <c r="F3742" t="s">
        <v>20</v>
      </c>
      <c r="G3742">
        <v>10</v>
      </c>
      <c r="H3742">
        <v>270</v>
      </c>
      <c r="I3742">
        <f t="shared" si="1250"/>
        <v>2700</v>
      </c>
      <c r="J3742" t="s">
        <v>163</v>
      </c>
      <c r="K3742">
        <v>232</v>
      </c>
      <c r="M3742">
        <f t="shared" si="1248"/>
        <v>2320</v>
      </c>
      <c r="N3742">
        <f t="shared" si="1249"/>
        <v>380</v>
      </c>
    </row>
    <row r="3743" spans="1:14" x14ac:dyDescent="0.25">
      <c r="A3743">
        <v>423</v>
      </c>
      <c r="B3743" s="1">
        <v>44135</v>
      </c>
      <c r="C3743" t="str">
        <f t="shared" si="1251"/>
        <v>octubre</v>
      </c>
      <c r="D3743" t="s">
        <v>15</v>
      </c>
      <c r="F3743" t="s">
        <v>397</v>
      </c>
      <c r="G3743">
        <f>7/10</f>
        <v>0.7</v>
      </c>
      <c r="H3743">
        <v>250</v>
      </c>
      <c r="I3743">
        <f t="shared" si="1250"/>
        <v>175</v>
      </c>
      <c r="J3743" t="s">
        <v>167</v>
      </c>
      <c r="K3743">
        <v>219</v>
      </c>
      <c r="M3743">
        <f t="shared" si="1248"/>
        <v>153.29999999999998</v>
      </c>
      <c r="N3743">
        <f t="shared" si="1249"/>
        <v>21.700000000000017</v>
      </c>
    </row>
    <row r="3744" spans="1:14" x14ac:dyDescent="0.25">
      <c r="A3744">
        <v>424</v>
      </c>
      <c r="B3744" s="1">
        <v>44135</v>
      </c>
      <c r="C3744" t="str">
        <f t="shared" si="1251"/>
        <v>octubre</v>
      </c>
      <c r="D3744" t="s">
        <v>78</v>
      </c>
      <c r="F3744" t="s">
        <v>79</v>
      </c>
      <c r="G3744">
        <v>1</v>
      </c>
      <c r="H3744">
        <v>1550</v>
      </c>
      <c r="I3744">
        <f t="shared" si="1250"/>
        <v>1550</v>
      </c>
      <c r="J3744" t="s">
        <v>167</v>
      </c>
      <c r="K3744">
        <v>1260</v>
      </c>
      <c r="M3744">
        <f t="shared" si="1248"/>
        <v>1260</v>
      </c>
      <c r="N3744">
        <f t="shared" si="1249"/>
        <v>290</v>
      </c>
    </row>
    <row r="3745" spans="1:14" x14ac:dyDescent="0.25">
      <c r="A3745">
        <v>425</v>
      </c>
      <c r="B3745" s="1">
        <v>44135</v>
      </c>
      <c r="C3745" t="str">
        <f t="shared" si="1251"/>
        <v>octubre</v>
      </c>
      <c r="D3745" t="s">
        <v>78</v>
      </c>
      <c r="F3745" t="s">
        <v>124</v>
      </c>
      <c r="G3745">
        <v>1</v>
      </c>
      <c r="H3745">
        <v>90</v>
      </c>
      <c r="I3745">
        <f t="shared" si="1250"/>
        <v>90</v>
      </c>
      <c r="J3745" t="s">
        <v>166</v>
      </c>
      <c r="K3745">
        <v>60</v>
      </c>
      <c r="M3745">
        <f t="shared" si="1248"/>
        <v>60</v>
      </c>
      <c r="N3745">
        <f t="shared" si="1249"/>
        <v>30</v>
      </c>
    </row>
    <row r="3746" spans="1:14" x14ac:dyDescent="0.25">
      <c r="A3746">
        <v>426</v>
      </c>
      <c r="B3746" s="1">
        <v>44135</v>
      </c>
      <c r="C3746" t="str">
        <f t="shared" si="1251"/>
        <v>octubre</v>
      </c>
      <c r="D3746" t="s">
        <v>55</v>
      </c>
      <c r="F3746" t="s">
        <v>39</v>
      </c>
      <c r="G3746">
        <v>2.82</v>
      </c>
      <c r="H3746">
        <v>300</v>
      </c>
      <c r="I3746">
        <f t="shared" si="1250"/>
        <v>846</v>
      </c>
      <c r="J3746" t="s">
        <v>167</v>
      </c>
      <c r="K3746">
        <v>268</v>
      </c>
      <c r="M3746">
        <f t="shared" si="1248"/>
        <v>755.76</v>
      </c>
      <c r="N3746">
        <f t="shared" si="1249"/>
        <v>90.240000000000009</v>
      </c>
    </row>
    <row r="3747" spans="1:14" x14ac:dyDescent="0.25">
      <c r="A3747">
        <v>427</v>
      </c>
      <c r="B3747" s="1">
        <v>44135</v>
      </c>
      <c r="C3747" t="str">
        <f t="shared" si="1251"/>
        <v>octubre</v>
      </c>
      <c r="D3747" t="s">
        <v>78</v>
      </c>
      <c r="F3747" t="s">
        <v>480</v>
      </c>
      <c r="G3747">
        <v>1</v>
      </c>
      <c r="H3747">
        <v>600</v>
      </c>
      <c r="I3747">
        <f t="shared" si="1250"/>
        <v>600</v>
      </c>
      <c r="J3747" t="s">
        <v>166</v>
      </c>
      <c r="K3747">
        <v>390</v>
      </c>
      <c r="M3747">
        <f t="shared" si="1248"/>
        <v>390</v>
      </c>
      <c r="N3747">
        <f t="shared" si="1249"/>
        <v>210</v>
      </c>
    </row>
    <row r="3748" spans="1:14" x14ac:dyDescent="0.25">
      <c r="A3748">
        <v>428</v>
      </c>
      <c r="B3748" s="1">
        <v>44135</v>
      </c>
      <c r="C3748" t="str">
        <f t="shared" si="1251"/>
        <v>octubre</v>
      </c>
      <c r="D3748" t="s">
        <v>78</v>
      </c>
      <c r="F3748" t="s">
        <v>535</v>
      </c>
      <c r="G3748">
        <v>1</v>
      </c>
      <c r="H3748">
        <v>80</v>
      </c>
      <c r="I3748">
        <f t="shared" si="1250"/>
        <v>80</v>
      </c>
      <c r="J3748" t="s">
        <v>198</v>
      </c>
      <c r="K3748">
        <v>55</v>
      </c>
      <c r="M3748">
        <f t="shared" si="1248"/>
        <v>55</v>
      </c>
      <c r="N3748">
        <f t="shared" si="1249"/>
        <v>25</v>
      </c>
    </row>
    <row r="3749" spans="1:14" x14ac:dyDescent="0.25">
      <c r="A3749">
        <v>429</v>
      </c>
      <c r="B3749" s="1">
        <v>44135</v>
      </c>
      <c r="C3749" t="str">
        <f t="shared" si="1251"/>
        <v>octubre</v>
      </c>
      <c r="D3749" t="s">
        <v>55</v>
      </c>
      <c r="F3749" t="s">
        <v>533</v>
      </c>
      <c r="G3749">
        <v>6</v>
      </c>
      <c r="H3749">
        <v>300</v>
      </c>
      <c r="I3749">
        <f t="shared" si="1250"/>
        <v>1800</v>
      </c>
      <c r="J3749" t="s">
        <v>163</v>
      </c>
      <c r="K3749">
        <v>272</v>
      </c>
      <c r="M3749">
        <f t="shared" si="1248"/>
        <v>1632</v>
      </c>
      <c r="N3749">
        <f t="shared" si="1249"/>
        <v>168</v>
      </c>
    </row>
    <row r="3750" spans="1:14" x14ac:dyDescent="0.25">
      <c r="A3750">
        <v>430</v>
      </c>
      <c r="B3750" s="1">
        <v>44135</v>
      </c>
      <c r="C3750" t="str">
        <f t="shared" si="1251"/>
        <v>octubre</v>
      </c>
      <c r="D3750" t="s">
        <v>55</v>
      </c>
      <c r="F3750" t="s">
        <v>533</v>
      </c>
      <c r="G3750">
        <v>2</v>
      </c>
      <c r="H3750">
        <v>300</v>
      </c>
      <c r="I3750">
        <f t="shared" si="1250"/>
        <v>600</v>
      </c>
      <c r="J3750" t="s">
        <v>163</v>
      </c>
      <c r="K3750">
        <v>272</v>
      </c>
      <c r="M3750">
        <f t="shared" si="1248"/>
        <v>544</v>
      </c>
      <c r="N3750">
        <f t="shared" si="1249"/>
        <v>56</v>
      </c>
    </row>
    <row r="3751" spans="1:14" x14ac:dyDescent="0.25">
      <c r="A3751">
        <v>431</v>
      </c>
      <c r="B3751" s="1">
        <v>44135</v>
      </c>
      <c r="C3751" t="str">
        <f t="shared" si="1251"/>
        <v>octubre</v>
      </c>
      <c r="D3751" t="s">
        <v>15</v>
      </c>
      <c r="F3751" t="s">
        <v>510</v>
      </c>
      <c r="G3751">
        <v>2.44</v>
      </c>
      <c r="H3751">
        <v>360</v>
      </c>
      <c r="I3751">
        <f t="shared" si="1250"/>
        <v>878.4</v>
      </c>
      <c r="J3751" t="s">
        <v>167</v>
      </c>
      <c r="K3751">
        <v>207</v>
      </c>
      <c r="M3751">
        <f t="shared" si="1248"/>
        <v>505.08</v>
      </c>
      <c r="N3751">
        <f t="shared" si="1249"/>
        <v>373.32</v>
      </c>
    </row>
    <row r="3752" spans="1:14" x14ac:dyDescent="0.25">
      <c r="A3752">
        <v>432</v>
      </c>
      <c r="B3752" s="1">
        <v>44135</v>
      </c>
      <c r="C3752" t="str">
        <f t="shared" si="1251"/>
        <v>octubre</v>
      </c>
      <c r="D3752" t="s">
        <v>55</v>
      </c>
      <c r="F3752" t="s">
        <v>533</v>
      </c>
      <c r="G3752">
        <v>1</v>
      </c>
      <c r="H3752">
        <v>300</v>
      </c>
      <c r="I3752">
        <f t="shared" si="1250"/>
        <v>300</v>
      </c>
      <c r="J3752" t="s">
        <v>163</v>
      </c>
      <c r="K3752">
        <v>272</v>
      </c>
      <c r="M3752">
        <f t="shared" si="1248"/>
        <v>272</v>
      </c>
      <c r="N3752">
        <f t="shared" si="1249"/>
        <v>28</v>
      </c>
    </row>
    <row r="3753" spans="1:14" x14ac:dyDescent="0.25">
      <c r="A3753">
        <v>433</v>
      </c>
      <c r="B3753" s="1">
        <v>44135</v>
      </c>
      <c r="C3753" t="str">
        <f t="shared" si="1251"/>
        <v>octubre</v>
      </c>
      <c r="D3753" t="s">
        <v>15</v>
      </c>
      <c r="F3753" t="s">
        <v>29</v>
      </c>
      <c r="G3753">
        <v>4</v>
      </c>
      <c r="H3753">
        <v>240</v>
      </c>
      <c r="I3753">
        <f t="shared" si="1250"/>
        <v>960</v>
      </c>
      <c r="J3753" t="s">
        <v>163</v>
      </c>
      <c r="K3753">
        <v>212</v>
      </c>
      <c r="M3753">
        <f t="shared" si="1248"/>
        <v>848</v>
      </c>
      <c r="N3753">
        <f t="shared" si="1249"/>
        <v>112</v>
      </c>
    </row>
    <row r="3754" spans="1:14" x14ac:dyDescent="0.25">
      <c r="A3754">
        <v>434</v>
      </c>
      <c r="B3754" s="1">
        <v>44135</v>
      </c>
      <c r="C3754" t="str">
        <f t="shared" si="1251"/>
        <v>octubre</v>
      </c>
      <c r="D3754" t="s">
        <v>25</v>
      </c>
      <c r="F3754" t="s">
        <v>148</v>
      </c>
      <c r="G3754">
        <v>1</v>
      </c>
      <c r="H3754">
        <v>60</v>
      </c>
      <c r="I3754">
        <f t="shared" si="1250"/>
        <v>60</v>
      </c>
      <c r="J3754" t="s">
        <v>165</v>
      </c>
      <c r="K3754">
        <v>34</v>
      </c>
      <c r="M3754">
        <f t="shared" si="1248"/>
        <v>34</v>
      </c>
      <c r="N3754">
        <f t="shared" si="1249"/>
        <v>26</v>
      </c>
    </row>
    <row r="3755" spans="1:14" x14ac:dyDescent="0.25">
      <c r="A3755">
        <v>435</v>
      </c>
      <c r="B3755" s="1">
        <v>44135</v>
      </c>
      <c r="C3755" t="str">
        <f t="shared" si="1251"/>
        <v>octubre</v>
      </c>
      <c r="D3755" t="s">
        <v>56</v>
      </c>
      <c r="F3755" t="s">
        <v>236</v>
      </c>
      <c r="G3755">
        <v>1</v>
      </c>
      <c r="H3755">
        <v>120</v>
      </c>
      <c r="I3755">
        <f t="shared" si="1250"/>
        <v>120</v>
      </c>
      <c r="J3755" t="s">
        <v>165</v>
      </c>
      <c r="K3755">
        <v>83</v>
      </c>
      <c r="M3755">
        <f t="shared" ref="M3755:M3818" si="1252">+IF(K3755=0,(""),(K3755*G3755))</f>
        <v>83</v>
      </c>
      <c r="N3755">
        <f t="shared" ref="N3755:N3818" si="1253">+IF(K3755=0,(""),(I3755-M3755))</f>
        <v>37</v>
      </c>
    </row>
    <row r="3756" spans="1:14" x14ac:dyDescent="0.25">
      <c r="A3756">
        <v>1</v>
      </c>
      <c r="B3756" s="1">
        <v>44137</v>
      </c>
      <c r="C3756" t="str">
        <f t="shared" si="1251"/>
        <v>noviembre</v>
      </c>
      <c r="D3756" t="s">
        <v>56</v>
      </c>
      <c r="F3756" t="s">
        <v>267</v>
      </c>
      <c r="G3756">
        <v>2</v>
      </c>
      <c r="H3756">
        <v>155</v>
      </c>
      <c r="I3756">
        <f t="shared" si="1250"/>
        <v>310</v>
      </c>
      <c r="J3756" t="s">
        <v>163</v>
      </c>
      <c r="K3756">
        <v>125</v>
      </c>
      <c r="M3756">
        <f t="shared" si="1252"/>
        <v>250</v>
      </c>
      <c r="N3756">
        <f t="shared" si="1253"/>
        <v>60</v>
      </c>
    </row>
    <row r="3757" spans="1:14" x14ac:dyDescent="0.25">
      <c r="A3757">
        <v>2</v>
      </c>
      <c r="B3757" s="1">
        <v>44137</v>
      </c>
      <c r="C3757" t="str">
        <f t="shared" si="1251"/>
        <v>noviembre</v>
      </c>
      <c r="D3757" t="s">
        <v>25</v>
      </c>
      <c r="F3757" t="s">
        <v>142</v>
      </c>
      <c r="G3757">
        <v>2</v>
      </c>
      <c r="H3757">
        <v>60</v>
      </c>
      <c r="I3757">
        <f t="shared" si="1250"/>
        <v>120</v>
      </c>
      <c r="J3757" t="s">
        <v>165</v>
      </c>
      <c r="K3757">
        <v>34</v>
      </c>
      <c r="M3757">
        <f t="shared" si="1252"/>
        <v>68</v>
      </c>
      <c r="N3757">
        <f t="shared" si="1253"/>
        <v>52</v>
      </c>
    </row>
    <row r="3758" spans="1:14" x14ac:dyDescent="0.25">
      <c r="A3758">
        <v>3</v>
      </c>
      <c r="B3758" s="1">
        <v>44137</v>
      </c>
      <c r="C3758" t="str">
        <f t="shared" si="1251"/>
        <v>noviembre</v>
      </c>
      <c r="D3758" t="s">
        <v>70</v>
      </c>
      <c r="F3758" t="s">
        <v>227</v>
      </c>
      <c r="G3758">
        <v>1</v>
      </c>
      <c r="H3758">
        <v>1650</v>
      </c>
      <c r="I3758">
        <f t="shared" si="1250"/>
        <v>1650</v>
      </c>
      <c r="J3758" t="s">
        <v>167</v>
      </c>
      <c r="K3758">
        <v>1440</v>
      </c>
      <c r="M3758">
        <f t="shared" si="1252"/>
        <v>1440</v>
      </c>
      <c r="N3758">
        <f t="shared" si="1253"/>
        <v>210</v>
      </c>
    </row>
    <row r="3759" spans="1:14" x14ac:dyDescent="0.25">
      <c r="A3759">
        <v>4</v>
      </c>
      <c r="B3759" s="1">
        <v>44137</v>
      </c>
      <c r="C3759" t="str">
        <f t="shared" si="1251"/>
        <v>noviembre</v>
      </c>
      <c r="D3759" t="s">
        <v>15</v>
      </c>
      <c r="F3759" t="s">
        <v>29</v>
      </c>
      <c r="G3759">
        <v>20</v>
      </c>
      <c r="H3759">
        <v>240</v>
      </c>
      <c r="I3759">
        <f t="shared" si="1250"/>
        <v>4800</v>
      </c>
      <c r="J3759" t="s">
        <v>163</v>
      </c>
      <c r="K3759">
        <v>212</v>
      </c>
      <c r="M3759">
        <f t="shared" si="1252"/>
        <v>4240</v>
      </c>
      <c r="N3759">
        <f t="shared" si="1253"/>
        <v>560</v>
      </c>
    </row>
    <row r="3760" spans="1:14" x14ac:dyDescent="0.25">
      <c r="A3760">
        <v>5</v>
      </c>
      <c r="B3760" s="1">
        <v>44137</v>
      </c>
      <c r="C3760" t="str">
        <f t="shared" si="1251"/>
        <v>noviembre</v>
      </c>
      <c r="D3760" t="s">
        <v>25</v>
      </c>
      <c r="F3760" t="s">
        <v>60</v>
      </c>
      <c r="G3760">
        <v>2</v>
      </c>
      <c r="H3760">
        <v>60</v>
      </c>
      <c r="I3760">
        <f t="shared" si="1250"/>
        <v>120</v>
      </c>
      <c r="J3760" t="s">
        <v>165</v>
      </c>
      <c r="K3760">
        <v>34</v>
      </c>
      <c r="M3760">
        <f t="shared" si="1252"/>
        <v>68</v>
      </c>
      <c r="N3760">
        <f t="shared" si="1253"/>
        <v>52</v>
      </c>
    </row>
    <row r="3761" spans="1:14" x14ac:dyDescent="0.25">
      <c r="A3761">
        <v>6</v>
      </c>
      <c r="B3761" s="1">
        <v>44137</v>
      </c>
      <c r="C3761" t="str">
        <f t="shared" si="1251"/>
        <v>noviembre</v>
      </c>
      <c r="D3761" t="s">
        <v>15</v>
      </c>
      <c r="F3761" t="s">
        <v>80</v>
      </c>
      <c r="G3761">
        <v>35</v>
      </c>
      <c r="H3761">
        <v>265</v>
      </c>
      <c r="I3761">
        <f t="shared" si="1250"/>
        <v>9275</v>
      </c>
      <c r="J3761" t="s">
        <v>163</v>
      </c>
      <c r="K3761">
        <v>242</v>
      </c>
      <c r="M3761">
        <f t="shared" si="1252"/>
        <v>8470</v>
      </c>
      <c r="N3761">
        <f t="shared" si="1253"/>
        <v>805</v>
      </c>
    </row>
    <row r="3762" spans="1:14" x14ac:dyDescent="0.25">
      <c r="A3762">
        <v>7</v>
      </c>
      <c r="B3762" s="1">
        <v>44137</v>
      </c>
      <c r="C3762" t="str">
        <f t="shared" si="1251"/>
        <v>noviembre</v>
      </c>
      <c r="D3762" t="s">
        <v>15</v>
      </c>
      <c r="F3762" t="s">
        <v>29</v>
      </c>
      <c r="G3762">
        <v>15</v>
      </c>
      <c r="H3762">
        <v>240</v>
      </c>
      <c r="I3762">
        <f t="shared" si="1250"/>
        <v>3600</v>
      </c>
      <c r="J3762" t="s">
        <v>163</v>
      </c>
      <c r="K3762">
        <v>212</v>
      </c>
      <c r="M3762">
        <f t="shared" si="1252"/>
        <v>3180</v>
      </c>
      <c r="N3762">
        <f t="shared" si="1253"/>
        <v>420</v>
      </c>
    </row>
    <row r="3763" spans="1:14" x14ac:dyDescent="0.25">
      <c r="A3763">
        <v>8</v>
      </c>
      <c r="B3763" s="1">
        <v>44137</v>
      </c>
      <c r="C3763" t="str">
        <f t="shared" si="1251"/>
        <v>noviembre</v>
      </c>
      <c r="D3763" t="s">
        <v>15</v>
      </c>
      <c r="F3763" t="s">
        <v>29</v>
      </c>
      <c r="G3763">
        <v>8</v>
      </c>
      <c r="H3763">
        <v>240</v>
      </c>
      <c r="I3763">
        <f t="shared" si="1250"/>
        <v>1920</v>
      </c>
      <c r="J3763" t="s">
        <v>163</v>
      </c>
      <c r="K3763">
        <v>212</v>
      </c>
      <c r="M3763">
        <f t="shared" si="1252"/>
        <v>1696</v>
      </c>
      <c r="N3763">
        <f t="shared" si="1253"/>
        <v>224</v>
      </c>
    </row>
    <row r="3764" spans="1:14" x14ac:dyDescent="0.25">
      <c r="A3764">
        <v>9</v>
      </c>
      <c r="B3764" s="1">
        <v>44137</v>
      </c>
      <c r="C3764" t="str">
        <f t="shared" si="1251"/>
        <v>noviembre</v>
      </c>
      <c r="D3764" t="s">
        <v>15</v>
      </c>
      <c r="F3764" t="s">
        <v>20</v>
      </c>
      <c r="G3764">
        <v>1.54</v>
      </c>
      <c r="H3764">
        <v>270</v>
      </c>
      <c r="I3764">
        <f t="shared" si="1250"/>
        <v>415.8</v>
      </c>
      <c r="J3764" t="s">
        <v>163</v>
      </c>
      <c r="K3764">
        <v>232</v>
      </c>
      <c r="M3764">
        <f t="shared" si="1252"/>
        <v>357.28000000000003</v>
      </c>
      <c r="N3764">
        <f t="shared" si="1253"/>
        <v>58.519999999999982</v>
      </c>
    </row>
    <row r="3765" spans="1:14" x14ac:dyDescent="0.25">
      <c r="A3765">
        <v>10</v>
      </c>
      <c r="B3765" s="1">
        <v>44137</v>
      </c>
      <c r="C3765" t="str">
        <f t="shared" si="1251"/>
        <v>noviembre</v>
      </c>
      <c r="D3765" t="s">
        <v>15</v>
      </c>
      <c r="F3765" t="s">
        <v>20</v>
      </c>
      <c r="G3765">
        <v>1</v>
      </c>
      <c r="H3765">
        <v>270</v>
      </c>
      <c r="I3765">
        <f t="shared" si="1250"/>
        <v>270</v>
      </c>
      <c r="J3765" t="s">
        <v>163</v>
      </c>
      <c r="K3765">
        <v>232</v>
      </c>
      <c r="M3765">
        <f t="shared" si="1252"/>
        <v>232</v>
      </c>
      <c r="N3765">
        <f t="shared" si="1253"/>
        <v>38</v>
      </c>
    </row>
    <row r="3766" spans="1:14" x14ac:dyDescent="0.25">
      <c r="A3766">
        <v>11</v>
      </c>
      <c r="B3766" s="1">
        <v>44137</v>
      </c>
      <c r="C3766" t="str">
        <f t="shared" si="1251"/>
        <v>noviembre</v>
      </c>
      <c r="D3766" t="s">
        <v>56</v>
      </c>
      <c r="F3766" t="s">
        <v>267</v>
      </c>
      <c r="G3766">
        <v>2</v>
      </c>
      <c r="H3766">
        <v>155</v>
      </c>
      <c r="I3766">
        <f t="shared" si="1250"/>
        <v>310</v>
      </c>
      <c r="J3766" t="s">
        <v>163</v>
      </c>
      <c r="K3766">
        <v>125</v>
      </c>
      <c r="M3766">
        <f t="shared" si="1252"/>
        <v>250</v>
      </c>
      <c r="N3766">
        <f t="shared" si="1253"/>
        <v>60</v>
      </c>
    </row>
    <row r="3767" spans="1:14" x14ac:dyDescent="0.25">
      <c r="A3767">
        <v>12</v>
      </c>
      <c r="B3767" s="1">
        <v>44137</v>
      </c>
      <c r="C3767" t="str">
        <f t="shared" si="1251"/>
        <v>noviembre</v>
      </c>
      <c r="D3767" t="s">
        <v>25</v>
      </c>
      <c r="F3767" t="s">
        <v>142</v>
      </c>
      <c r="G3767">
        <v>2</v>
      </c>
      <c r="H3767">
        <v>60</v>
      </c>
      <c r="I3767">
        <f t="shared" si="1250"/>
        <v>120</v>
      </c>
      <c r="J3767" t="s">
        <v>165</v>
      </c>
      <c r="K3767">
        <v>34</v>
      </c>
      <c r="M3767">
        <f t="shared" si="1252"/>
        <v>68</v>
      </c>
      <c r="N3767">
        <f t="shared" si="1253"/>
        <v>52</v>
      </c>
    </row>
    <row r="3768" spans="1:14" x14ac:dyDescent="0.25">
      <c r="A3768">
        <v>13</v>
      </c>
      <c r="B3768" s="1">
        <v>44137</v>
      </c>
      <c r="C3768" t="str">
        <f t="shared" si="1251"/>
        <v>noviembre</v>
      </c>
      <c r="D3768" t="s">
        <v>55</v>
      </c>
      <c r="F3768" t="s">
        <v>434</v>
      </c>
      <c r="G3768">
        <v>8.5</v>
      </c>
      <c r="H3768">
        <v>300</v>
      </c>
      <c r="I3768">
        <f t="shared" si="1250"/>
        <v>2550</v>
      </c>
      <c r="J3768" t="s">
        <v>167</v>
      </c>
      <c r="K3768">
        <v>268</v>
      </c>
      <c r="M3768">
        <f t="shared" si="1252"/>
        <v>2278</v>
      </c>
      <c r="N3768">
        <f t="shared" si="1253"/>
        <v>272</v>
      </c>
    </row>
    <row r="3769" spans="1:14" x14ac:dyDescent="0.25">
      <c r="A3769">
        <v>14</v>
      </c>
      <c r="B3769" s="1">
        <v>44137</v>
      </c>
      <c r="C3769" t="str">
        <f t="shared" si="1251"/>
        <v>noviembre</v>
      </c>
      <c r="D3769" t="s">
        <v>15</v>
      </c>
      <c r="F3769" t="s">
        <v>493</v>
      </c>
      <c r="G3769">
        <v>2</v>
      </c>
      <c r="H3769">
        <v>300</v>
      </c>
      <c r="I3769">
        <f t="shared" si="1250"/>
        <v>600</v>
      </c>
      <c r="J3769" t="s">
        <v>167</v>
      </c>
      <c r="K3769">
        <v>268</v>
      </c>
      <c r="M3769">
        <f t="shared" si="1252"/>
        <v>536</v>
      </c>
      <c r="N3769">
        <f t="shared" si="1253"/>
        <v>64</v>
      </c>
    </row>
    <row r="3770" spans="1:14" x14ac:dyDescent="0.25">
      <c r="A3770">
        <v>15</v>
      </c>
      <c r="B3770" s="1">
        <v>44138</v>
      </c>
      <c r="C3770" t="str">
        <f t="shared" si="1251"/>
        <v>noviembre</v>
      </c>
      <c r="D3770" t="s">
        <v>26</v>
      </c>
      <c r="F3770" t="s">
        <v>532</v>
      </c>
      <c r="G3770">
        <v>36</v>
      </c>
      <c r="H3770">
        <v>380</v>
      </c>
      <c r="I3770">
        <f t="shared" si="1250"/>
        <v>13680</v>
      </c>
      <c r="J3770" t="s">
        <v>99</v>
      </c>
      <c r="K3770">
        <v>341</v>
      </c>
      <c r="M3770">
        <f t="shared" si="1252"/>
        <v>12276</v>
      </c>
      <c r="N3770">
        <f t="shared" si="1253"/>
        <v>1404</v>
      </c>
    </row>
    <row r="3771" spans="1:14" x14ac:dyDescent="0.25">
      <c r="A3771">
        <v>16</v>
      </c>
      <c r="B3771" s="1">
        <v>44138</v>
      </c>
      <c r="C3771" t="str">
        <f t="shared" si="1251"/>
        <v>noviembre</v>
      </c>
      <c r="D3771" t="s">
        <v>55</v>
      </c>
      <c r="F3771" t="s">
        <v>22</v>
      </c>
      <c r="G3771">
        <v>1</v>
      </c>
      <c r="H3771">
        <v>300</v>
      </c>
      <c r="I3771">
        <f t="shared" si="1250"/>
        <v>300</v>
      </c>
      <c r="J3771" t="s">
        <v>167</v>
      </c>
      <c r="K3771">
        <v>268</v>
      </c>
      <c r="M3771">
        <f t="shared" si="1252"/>
        <v>268</v>
      </c>
      <c r="N3771">
        <f t="shared" si="1253"/>
        <v>32</v>
      </c>
    </row>
    <row r="3772" spans="1:14" x14ac:dyDescent="0.25">
      <c r="A3772">
        <v>17</v>
      </c>
      <c r="B3772" s="1">
        <v>44138</v>
      </c>
      <c r="C3772" t="str">
        <f t="shared" si="1251"/>
        <v>noviembre</v>
      </c>
      <c r="D3772" t="s">
        <v>56</v>
      </c>
      <c r="F3772" t="s">
        <v>236</v>
      </c>
      <c r="G3772">
        <v>1</v>
      </c>
      <c r="H3772">
        <v>120</v>
      </c>
      <c r="I3772">
        <f t="shared" si="1250"/>
        <v>120</v>
      </c>
      <c r="J3772" t="s">
        <v>165</v>
      </c>
      <c r="K3772">
        <v>83</v>
      </c>
      <c r="M3772">
        <f t="shared" si="1252"/>
        <v>83</v>
      </c>
      <c r="N3772">
        <f t="shared" si="1253"/>
        <v>37</v>
      </c>
    </row>
    <row r="3773" spans="1:14" x14ac:dyDescent="0.25">
      <c r="A3773">
        <v>18</v>
      </c>
      <c r="B3773" s="1">
        <v>44138</v>
      </c>
      <c r="C3773" t="str">
        <f t="shared" si="1251"/>
        <v>noviembre</v>
      </c>
      <c r="D3773" t="s">
        <v>25</v>
      </c>
      <c r="F3773" t="s">
        <v>148</v>
      </c>
      <c r="G3773">
        <v>1</v>
      </c>
      <c r="H3773">
        <v>60</v>
      </c>
      <c r="I3773">
        <f t="shared" si="1250"/>
        <v>60</v>
      </c>
      <c r="J3773" t="s">
        <v>165</v>
      </c>
      <c r="K3773">
        <v>34</v>
      </c>
      <c r="M3773">
        <f t="shared" si="1252"/>
        <v>34</v>
      </c>
      <c r="N3773">
        <f t="shared" si="1253"/>
        <v>26</v>
      </c>
    </row>
    <row r="3774" spans="1:14" x14ac:dyDescent="0.25">
      <c r="A3774">
        <v>19</v>
      </c>
      <c r="B3774" s="1">
        <v>44138</v>
      </c>
      <c r="C3774" t="str">
        <f t="shared" si="1251"/>
        <v>noviembre</v>
      </c>
      <c r="D3774" t="s">
        <v>85</v>
      </c>
      <c r="F3774" t="s">
        <v>536</v>
      </c>
      <c r="G3774">
        <v>1</v>
      </c>
      <c r="H3774">
        <v>600</v>
      </c>
      <c r="I3774">
        <f t="shared" si="1250"/>
        <v>600</v>
      </c>
      <c r="J3774" t="s">
        <v>167</v>
      </c>
      <c r="K3774">
        <v>427</v>
      </c>
      <c r="M3774">
        <f t="shared" si="1252"/>
        <v>427</v>
      </c>
      <c r="N3774">
        <f t="shared" si="1253"/>
        <v>173</v>
      </c>
    </row>
    <row r="3775" spans="1:14" x14ac:dyDescent="0.25">
      <c r="A3775">
        <v>20</v>
      </c>
      <c r="B3775" s="1">
        <v>44138</v>
      </c>
      <c r="C3775" t="str">
        <f t="shared" si="1251"/>
        <v>noviembre</v>
      </c>
      <c r="D3775" t="s">
        <v>70</v>
      </c>
      <c r="F3775" t="s">
        <v>537</v>
      </c>
      <c r="G3775">
        <v>1</v>
      </c>
      <c r="H3775">
        <v>4375</v>
      </c>
      <c r="I3775">
        <f t="shared" si="1250"/>
        <v>4375</v>
      </c>
      <c r="J3775" t="s">
        <v>163</v>
      </c>
      <c r="K3775">
        <v>3852</v>
      </c>
      <c r="M3775">
        <f t="shared" si="1252"/>
        <v>3852</v>
      </c>
      <c r="N3775">
        <f t="shared" si="1253"/>
        <v>523</v>
      </c>
    </row>
    <row r="3776" spans="1:14" x14ac:dyDescent="0.25">
      <c r="A3776">
        <v>21</v>
      </c>
      <c r="B3776" s="1">
        <v>44138</v>
      </c>
      <c r="C3776" t="str">
        <f t="shared" si="1251"/>
        <v>noviembre</v>
      </c>
      <c r="D3776" t="s">
        <v>15</v>
      </c>
      <c r="F3776" t="s">
        <v>527</v>
      </c>
      <c r="G3776">
        <v>15</v>
      </c>
      <c r="H3776">
        <v>250</v>
      </c>
      <c r="I3776">
        <f t="shared" si="1250"/>
        <v>3750</v>
      </c>
      <c r="J3776" t="s">
        <v>163</v>
      </c>
      <c r="K3776">
        <v>222</v>
      </c>
      <c r="M3776">
        <f t="shared" si="1252"/>
        <v>3330</v>
      </c>
      <c r="N3776">
        <f t="shared" si="1253"/>
        <v>420</v>
      </c>
    </row>
    <row r="3777" spans="1:14" x14ac:dyDescent="0.25">
      <c r="A3777">
        <v>22</v>
      </c>
      <c r="B3777" s="1">
        <v>44138</v>
      </c>
      <c r="C3777" t="str">
        <f t="shared" si="1251"/>
        <v>noviembre</v>
      </c>
      <c r="D3777" t="s">
        <v>25</v>
      </c>
      <c r="F3777" t="s">
        <v>58</v>
      </c>
      <c r="G3777">
        <v>2</v>
      </c>
      <c r="H3777">
        <v>60</v>
      </c>
      <c r="I3777">
        <f t="shared" si="1250"/>
        <v>120</v>
      </c>
      <c r="J3777" t="s">
        <v>165</v>
      </c>
      <c r="K3777">
        <v>34</v>
      </c>
      <c r="M3777">
        <f t="shared" si="1252"/>
        <v>68</v>
      </c>
      <c r="N3777">
        <f t="shared" si="1253"/>
        <v>52</v>
      </c>
    </row>
    <row r="3778" spans="1:14" x14ac:dyDescent="0.25">
      <c r="A3778">
        <v>23</v>
      </c>
      <c r="B3778" s="1">
        <v>44138</v>
      </c>
      <c r="C3778" t="str">
        <f t="shared" si="1251"/>
        <v>noviembre</v>
      </c>
      <c r="D3778" t="s">
        <v>44</v>
      </c>
      <c r="F3778" t="s">
        <v>382</v>
      </c>
      <c r="G3778">
        <v>1</v>
      </c>
      <c r="H3778">
        <v>35</v>
      </c>
      <c r="I3778">
        <f t="shared" si="1250"/>
        <v>35</v>
      </c>
      <c r="J3778" t="s">
        <v>166</v>
      </c>
      <c r="K3778">
        <v>22</v>
      </c>
      <c r="M3778">
        <f t="shared" si="1252"/>
        <v>22</v>
      </c>
      <c r="N3778">
        <f t="shared" si="1253"/>
        <v>13</v>
      </c>
    </row>
    <row r="3779" spans="1:14" x14ac:dyDescent="0.25">
      <c r="A3779">
        <v>24</v>
      </c>
      <c r="B3779" s="1">
        <v>44138</v>
      </c>
      <c r="C3779" t="str">
        <f t="shared" si="1251"/>
        <v>noviembre</v>
      </c>
      <c r="D3779" t="s">
        <v>55</v>
      </c>
      <c r="F3779" t="s">
        <v>533</v>
      </c>
      <c r="G3779">
        <v>10.5</v>
      </c>
      <c r="H3779">
        <v>300</v>
      </c>
      <c r="I3779">
        <f t="shared" si="1250"/>
        <v>3150</v>
      </c>
      <c r="J3779" t="s">
        <v>163</v>
      </c>
      <c r="K3779">
        <v>272</v>
      </c>
      <c r="M3779">
        <f t="shared" si="1252"/>
        <v>2856</v>
      </c>
      <c r="N3779">
        <f t="shared" si="1253"/>
        <v>294</v>
      </c>
    </row>
    <row r="3780" spans="1:14" x14ac:dyDescent="0.25">
      <c r="A3780">
        <v>25</v>
      </c>
      <c r="B3780" s="1">
        <v>44139</v>
      </c>
      <c r="C3780" t="str">
        <f t="shared" si="1251"/>
        <v>noviembre</v>
      </c>
      <c r="D3780" t="s">
        <v>15</v>
      </c>
      <c r="F3780" t="s">
        <v>29</v>
      </c>
      <c r="G3780">
        <v>22</v>
      </c>
      <c r="H3780">
        <v>240</v>
      </c>
      <c r="I3780">
        <f t="shared" si="1250"/>
        <v>5280</v>
      </c>
      <c r="J3780" t="s">
        <v>163</v>
      </c>
      <c r="K3780">
        <v>212</v>
      </c>
      <c r="M3780">
        <f t="shared" si="1252"/>
        <v>4664</v>
      </c>
      <c r="N3780">
        <f t="shared" si="1253"/>
        <v>616</v>
      </c>
    </row>
    <row r="3781" spans="1:14" x14ac:dyDescent="0.25">
      <c r="A3781">
        <v>26</v>
      </c>
      <c r="B3781" s="1">
        <v>44139</v>
      </c>
      <c r="C3781" t="str">
        <f t="shared" si="1251"/>
        <v>noviembre</v>
      </c>
      <c r="D3781" t="s">
        <v>15</v>
      </c>
      <c r="F3781" t="s">
        <v>19</v>
      </c>
      <c r="G3781">
        <v>13</v>
      </c>
      <c r="H3781">
        <v>295</v>
      </c>
      <c r="I3781">
        <f t="shared" si="1250"/>
        <v>3835</v>
      </c>
      <c r="J3781" t="s">
        <v>167</v>
      </c>
      <c r="K3781">
        <v>268</v>
      </c>
      <c r="M3781">
        <f t="shared" si="1252"/>
        <v>3484</v>
      </c>
      <c r="N3781">
        <f t="shared" si="1253"/>
        <v>351</v>
      </c>
    </row>
    <row r="3782" spans="1:14" x14ac:dyDescent="0.25">
      <c r="A3782">
        <v>27</v>
      </c>
      <c r="B3782" s="1">
        <v>44139</v>
      </c>
      <c r="C3782" t="str">
        <f t="shared" si="1251"/>
        <v>noviembre</v>
      </c>
      <c r="D3782" t="s">
        <v>15</v>
      </c>
      <c r="F3782" t="s">
        <v>29</v>
      </c>
      <c r="G3782">
        <v>2</v>
      </c>
      <c r="H3782">
        <v>240</v>
      </c>
      <c r="I3782">
        <f t="shared" si="1250"/>
        <v>480</v>
      </c>
      <c r="J3782" t="s">
        <v>163</v>
      </c>
      <c r="K3782">
        <v>212</v>
      </c>
      <c r="M3782">
        <f t="shared" si="1252"/>
        <v>424</v>
      </c>
      <c r="N3782">
        <f t="shared" si="1253"/>
        <v>56</v>
      </c>
    </row>
    <row r="3783" spans="1:14" x14ac:dyDescent="0.25">
      <c r="A3783">
        <v>28</v>
      </c>
      <c r="B3783" s="1">
        <v>44139</v>
      </c>
      <c r="C3783" t="str">
        <f t="shared" si="1251"/>
        <v>noviembre</v>
      </c>
      <c r="D3783" t="s">
        <v>56</v>
      </c>
      <c r="F3783" t="s">
        <v>267</v>
      </c>
      <c r="G3783">
        <v>2</v>
      </c>
      <c r="H3783">
        <v>155</v>
      </c>
      <c r="I3783">
        <f t="shared" si="1250"/>
        <v>310</v>
      </c>
      <c r="J3783" t="s">
        <v>163</v>
      </c>
      <c r="K3783">
        <v>125</v>
      </c>
      <c r="M3783">
        <f t="shared" si="1252"/>
        <v>250</v>
      </c>
      <c r="N3783">
        <f t="shared" si="1253"/>
        <v>60</v>
      </c>
    </row>
    <row r="3784" spans="1:14" x14ac:dyDescent="0.25">
      <c r="A3784">
        <v>29</v>
      </c>
      <c r="B3784" s="1">
        <v>44139</v>
      </c>
      <c r="C3784" t="str">
        <f t="shared" si="1251"/>
        <v>noviembre</v>
      </c>
      <c r="D3784" t="s">
        <v>15</v>
      </c>
      <c r="F3784" t="s">
        <v>421</v>
      </c>
      <c r="G3784">
        <v>1.5</v>
      </c>
      <c r="H3784">
        <v>300</v>
      </c>
      <c r="I3784">
        <f t="shared" si="1250"/>
        <v>450</v>
      </c>
      <c r="J3784" t="s">
        <v>167</v>
      </c>
      <c r="K3784">
        <v>253</v>
      </c>
      <c r="M3784">
        <f t="shared" si="1252"/>
        <v>379.5</v>
      </c>
      <c r="N3784">
        <f t="shared" si="1253"/>
        <v>70.5</v>
      </c>
    </row>
    <row r="3785" spans="1:14" x14ac:dyDescent="0.25">
      <c r="A3785">
        <v>30</v>
      </c>
      <c r="B3785" s="1">
        <v>44139</v>
      </c>
      <c r="C3785" t="str">
        <f t="shared" si="1251"/>
        <v>noviembre</v>
      </c>
      <c r="D3785" t="s">
        <v>55</v>
      </c>
      <c r="F3785" t="s">
        <v>423</v>
      </c>
      <c r="G3785">
        <v>8</v>
      </c>
      <c r="H3785">
        <v>270</v>
      </c>
      <c r="I3785">
        <f t="shared" si="1250"/>
        <v>2160</v>
      </c>
      <c r="J3785" t="s">
        <v>167</v>
      </c>
      <c r="K3785">
        <v>207</v>
      </c>
      <c r="M3785">
        <f t="shared" si="1252"/>
        <v>1656</v>
      </c>
      <c r="N3785">
        <f t="shared" si="1253"/>
        <v>504</v>
      </c>
    </row>
    <row r="3786" spans="1:14" x14ac:dyDescent="0.25">
      <c r="A3786">
        <v>31</v>
      </c>
      <c r="B3786" s="1">
        <v>44139</v>
      </c>
      <c r="C3786" t="str">
        <f t="shared" si="1251"/>
        <v>noviembre</v>
      </c>
      <c r="D3786" t="s">
        <v>24</v>
      </c>
      <c r="F3786" t="s">
        <v>24</v>
      </c>
      <c r="G3786">
        <v>2</v>
      </c>
      <c r="H3786">
        <v>100</v>
      </c>
      <c r="I3786">
        <f t="shared" ref="I3786:I3841" si="1254">+G3786*H3786</f>
        <v>200</v>
      </c>
      <c r="J3786" t="s">
        <v>186</v>
      </c>
      <c r="K3786">
        <v>80</v>
      </c>
      <c r="M3786">
        <f t="shared" si="1252"/>
        <v>160</v>
      </c>
      <c r="N3786">
        <f t="shared" si="1253"/>
        <v>40</v>
      </c>
    </row>
    <row r="3787" spans="1:14" x14ac:dyDescent="0.25">
      <c r="A3787">
        <v>32</v>
      </c>
      <c r="B3787" s="1">
        <v>44139</v>
      </c>
      <c r="C3787" t="str">
        <f t="shared" si="1251"/>
        <v>noviembre</v>
      </c>
      <c r="D3787" t="s">
        <v>15</v>
      </c>
      <c r="F3787" t="s">
        <v>21</v>
      </c>
      <c r="G3787">
        <v>2.5</v>
      </c>
      <c r="H3787">
        <v>300</v>
      </c>
      <c r="I3787">
        <f t="shared" si="1254"/>
        <v>750</v>
      </c>
      <c r="J3787" t="s">
        <v>167</v>
      </c>
      <c r="K3787">
        <v>268</v>
      </c>
      <c r="M3787">
        <f t="shared" si="1252"/>
        <v>670</v>
      </c>
      <c r="N3787">
        <f t="shared" si="1253"/>
        <v>80</v>
      </c>
    </row>
    <row r="3788" spans="1:14" x14ac:dyDescent="0.25">
      <c r="A3788">
        <v>33</v>
      </c>
      <c r="B3788" s="1">
        <v>44139</v>
      </c>
      <c r="C3788" t="str">
        <f t="shared" si="1251"/>
        <v>noviembre</v>
      </c>
      <c r="D3788" t="s">
        <v>25</v>
      </c>
      <c r="F3788" t="s">
        <v>506</v>
      </c>
      <c r="G3788">
        <v>1</v>
      </c>
      <c r="H3788">
        <v>60</v>
      </c>
      <c r="I3788">
        <f t="shared" si="1254"/>
        <v>60</v>
      </c>
      <c r="J3788" t="s">
        <v>165</v>
      </c>
      <c r="K3788">
        <v>34</v>
      </c>
      <c r="M3788">
        <f t="shared" si="1252"/>
        <v>34</v>
      </c>
      <c r="N3788">
        <f t="shared" si="1253"/>
        <v>26</v>
      </c>
    </row>
    <row r="3789" spans="1:14" x14ac:dyDescent="0.25">
      <c r="A3789">
        <v>34</v>
      </c>
      <c r="B3789" s="1">
        <v>44139</v>
      </c>
      <c r="C3789" t="str">
        <f t="shared" si="1251"/>
        <v>noviembre</v>
      </c>
      <c r="D3789" t="s">
        <v>15</v>
      </c>
      <c r="F3789" t="s">
        <v>19</v>
      </c>
      <c r="G3789">
        <v>1</v>
      </c>
      <c r="H3789">
        <v>300</v>
      </c>
      <c r="I3789">
        <f t="shared" si="1254"/>
        <v>300</v>
      </c>
      <c r="J3789" t="s">
        <v>167</v>
      </c>
      <c r="K3789">
        <v>268</v>
      </c>
      <c r="M3789">
        <f t="shared" si="1252"/>
        <v>268</v>
      </c>
      <c r="N3789">
        <f t="shared" si="1253"/>
        <v>32</v>
      </c>
    </row>
    <row r="3790" spans="1:14" x14ac:dyDescent="0.25">
      <c r="A3790">
        <v>35</v>
      </c>
      <c r="B3790" s="1">
        <v>44139</v>
      </c>
      <c r="C3790" t="str">
        <f t="shared" si="1251"/>
        <v>noviembre</v>
      </c>
      <c r="D3790" t="s">
        <v>15</v>
      </c>
      <c r="F3790" t="s">
        <v>421</v>
      </c>
      <c r="G3790">
        <v>3.4</v>
      </c>
      <c r="H3790">
        <v>300</v>
      </c>
      <c r="I3790">
        <f t="shared" si="1254"/>
        <v>1020</v>
      </c>
      <c r="J3790" t="s">
        <v>167</v>
      </c>
      <c r="K3790">
        <v>253</v>
      </c>
      <c r="M3790">
        <f t="shared" si="1252"/>
        <v>860.19999999999993</v>
      </c>
      <c r="N3790">
        <f t="shared" si="1253"/>
        <v>159.80000000000007</v>
      </c>
    </row>
    <row r="3791" spans="1:14" x14ac:dyDescent="0.25">
      <c r="A3791">
        <v>36</v>
      </c>
      <c r="B3791" s="1">
        <v>44139</v>
      </c>
      <c r="C3791" t="str">
        <f t="shared" si="1251"/>
        <v>noviembre</v>
      </c>
      <c r="D3791" t="s">
        <v>25</v>
      </c>
      <c r="F3791" t="s">
        <v>72</v>
      </c>
      <c r="G3791">
        <v>1</v>
      </c>
      <c r="H3791">
        <v>60</v>
      </c>
      <c r="I3791">
        <f t="shared" si="1254"/>
        <v>60</v>
      </c>
      <c r="J3791" t="s">
        <v>165</v>
      </c>
      <c r="K3791">
        <v>34</v>
      </c>
      <c r="M3791">
        <f t="shared" si="1252"/>
        <v>34</v>
      </c>
      <c r="N3791">
        <f t="shared" si="1253"/>
        <v>26</v>
      </c>
    </row>
    <row r="3792" spans="1:14" x14ac:dyDescent="0.25">
      <c r="A3792">
        <v>37</v>
      </c>
      <c r="B3792" s="1">
        <v>44140</v>
      </c>
      <c r="C3792" t="str">
        <f t="shared" si="1251"/>
        <v>noviembre</v>
      </c>
      <c r="D3792" t="s">
        <v>55</v>
      </c>
      <c r="F3792" t="s">
        <v>111</v>
      </c>
      <c r="G3792">
        <f>1/17</f>
        <v>5.8823529411764705E-2</v>
      </c>
      <c r="H3792">
        <v>300</v>
      </c>
      <c r="I3792">
        <f t="shared" si="1254"/>
        <v>17.647058823529413</v>
      </c>
      <c r="J3792" t="s">
        <v>167</v>
      </c>
      <c r="K3792">
        <v>268</v>
      </c>
      <c r="M3792">
        <f t="shared" si="1252"/>
        <v>15.76470588235294</v>
      </c>
      <c r="N3792">
        <f t="shared" si="1253"/>
        <v>1.8823529411764728</v>
      </c>
    </row>
    <row r="3793" spans="1:14" x14ac:dyDescent="0.25">
      <c r="A3793">
        <v>38</v>
      </c>
      <c r="B3793" s="1">
        <v>44140</v>
      </c>
      <c r="C3793" t="str">
        <f t="shared" si="1251"/>
        <v>noviembre</v>
      </c>
      <c r="D3793" t="s">
        <v>26</v>
      </c>
      <c r="F3793" t="s">
        <v>484</v>
      </c>
      <c r="G3793">
        <v>38</v>
      </c>
      <c r="H3793">
        <v>440</v>
      </c>
      <c r="I3793">
        <f t="shared" si="1254"/>
        <v>16720</v>
      </c>
      <c r="J3793" t="s">
        <v>99</v>
      </c>
      <c r="K3793">
        <v>412</v>
      </c>
      <c r="M3793">
        <f t="shared" si="1252"/>
        <v>15656</v>
      </c>
      <c r="N3793">
        <f t="shared" si="1253"/>
        <v>1064</v>
      </c>
    </row>
    <row r="3794" spans="1:14" x14ac:dyDescent="0.25">
      <c r="A3794">
        <v>39</v>
      </c>
      <c r="B3794" s="1">
        <v>44140</v>
      </c>
      <c r="C3794" t="str">
        <f t="shared" si="1251"/>
        <v>noviembre</v>
      </c>
      <c r="D3794" t="s">
        <v>56</v>
      </c>
      <c r="F3794" t="s">
        <v>176</v>
      </c>
      <c r="G3794">
        <v>12</v>
      </c>
      <c r="H3794">
        <v>250</v>
      </c>
      <c r="I3794">
        <f t="shared" si="1254"/>
        <v>3000</v>
      </c>
      <c r="J3794" t="s">
        <v>163</v>
      </c>
      <c r="K3794">
        <v>200</v>
      </c>
      <c r="M3794">
        <f t="shared" si="1252"/>
        <v>2400</v>
      </c>
      <c r="N3794">
        <f t="shared" si="1253"/>
        <v>600</v>
      </c>
    </row>
    <row r="3795" spans="1:14" x14ac:dyDescent="0.25">
      <c r="A3795">
        <v>40</v>
      </c>
      <c r="B3795" s="1">
        <v>44140</v>
      </c>
      <c r="C3795" t="str">
        <f t="shared" si="1251"/>
        <v>noviembre</v>
      </c>
      <c r="D3795" t="s">
        <v>25</v>
      </c>
      <c r="F3795" t="s">
        <v>57</v>
      </c>
      <c r="G3795">
        <v>7</v>
      </c>
      <c r="H3795">
        <v>60</v>
      </c>
      <c r="I3795">
        <f t="shared" si="1254"/>
        <v>420</v>
      </c>
      <c r="J3795" t="s">
        <v>165</v>
      </c>
      <c r="K3795">
        <v>34</v>
      </c>
      <c r="M3795">
        <f t="shared" si="1252"/>
        <v>238</v>
      </c>
      <c r="N3795">
        <f t="shared" si="1253"/>
        <v>182</v>
      </c>
    </row>
    <row r="3796" spans="1:14" x14ac:dyDescent="0.25">
      <c r="A3796">
        <v>41</v>
      </c>
      <c r="B3796" s="1">
        <v>44140</v>
      </c>
      <c r="C3796" t="str">
        <f t="shared" si="1251"/>
        <v>noviembre</v>
      </c>
      <c r="D3796" t="s">
        <v>23</v>
      </c>
      <c r="F3796" t="s">
        <v>215</v>
      </c>
      <c r="G3796">
        <v>5</v>
      </c>
      <c r="H3796">
        <v>35</v>
      </c>
      <c r="I3796">
        <f t="shared" si="1254"/>
        <v>175</v>
      </c>
      <c r="J3796" t="s">
        <v>187</v>
      </c>
      <c r="K3796">
        <v>25</v>
      </c>
      <c r="M3796">
        <f t="shared" si="1252"/>
        <v>125</v>
      </c>
      <c r="N3796">
        <f t="shared" si="1253"/>
        <v>50</v>
      </c>
    </row>
    <row r="3797" spans="1:14" x14ac:dyDescent="0.25">
      <c r="A3797">
        <v>42</v>
      </c>
      <c r="B3797" s="1">
        <v>44140</v>
      </c>
      <c r="C3797" t="str">
        <f t="shared" si="1251"/>
        <v>noviembre</v>
      </c>
      <c r="D3797" t="s">
        <v>24</v>
      </c>
      <c r="F3797" t="s">
        <v>24</v>
      </c>
      <c r="G3797">
        <v>1</v>
      </c>
      <c r="H3797">
        <v>100</v>
      </c>
      <c r="I3797">
        <f t="shared" si="1254"/>
        <v>100</v>
      </c>
      <c r="J3797" t="s">
        <v>186</v>
      </c>
      <c r="K3797">
        <v>80</v>
      </c>
      <c r="M3797">
        <f t="shared" si="1252"/>
        <v>80</v>
      </c>
      <c r="N3797">
        <f t="shared" si="1253"/>
        <v>20</v>
      </c>
    </row>
    <row r="3798" spans="1:14" x14ac:dyDescent="0.25">
      <c r="A3798">
        <v>43</v>
      </c>
      <c r="B3798" s="1">
        <v>44140</v>
      </c>
      <c r="C3798" t="str">
        <f t="shared" si="1251"/>
        <v>noviembre</v>
      </c>
      <c r="D3798" t="s">
        <v>55</v>
      </c>
      <c r="F3798" t="s">
        <v>365</v>
      </c>
      <c r="G3798">
        <v>1</v>
      </c>
      <c r="H3798">
        <v>270</v>
      </c>
      <c r="I3798">
        <f t="shared" si="1254"/>
        <v>270</v>
      </c>
      <c r="J3798" t="s">
        <v>163</v>
      </c>
      <c r="K3798">
        <v>190</v>
      </c>
      <c r="M3798">
        <f t="shared" si="1252"/>
        <v>190</v>
      </c>
      <c r="N3798">
        <f t="shared" si="1253"/>
        <v>80</v>
      </c>
    </row>
    <row r="3799" spans="1:14" x14ac:dyDescent="0.25">
      <c r="A3799">
        <v>44</v>
      </c>
      <c r="B3799" s="1">
        <v>44140</v>
      </c>
      <c r="C3799" t="str">
        <f t="shared" si="1251"/>
        <v>noviembre</v>
      </c>
      <c r="D3799" t="s">
        <v>26</v>
      </c>
      <c r="F3799" t="s">
        <v>532</v>
      </c>
      <c r="G3799">
        <v>1.44</v>
      </c>
      <c r="H3799">
        <v>380</v>
      </c>
      <c r="I3799">
        <f t="shared" si="1254"/>
        <v>547.19999999999993</v>
      </c>
      <c r="J3799" t="s">
        <v>99</v>
      </c>
      <c r="K3799">
        <v>341</v>
      </c>
      <c r="M3799">
        <f t="shared" si="1252"/>
        <v>491.03999999999996</v>
      </c>
      <c r="N3799">
        <f t="shared" si="1253"/>
        <v>56.159999999999968</v>
      </c>
    </row>
    <row r="3800" spans="1:14" x14ac:dyDescent="0.25">
      <c r="A3800">
        <v>45</v>
      </c>
      <c r="B3800" s="1">
        <v>44140</v>
      </c>
      <c r="C3800" t="str">
        <f t="shared" si="1251"/>
        <v>noviembre</v>
      </c>
      <c r="D3800" t="s">
        <v>85</v>
      </c>
      <c r="F3800" t="s">
        <v>216</v>
      </c>
      <c r="G3800">
        <v>1</v>
      </c>
      <c r="H3800">
        <v>900</v>
      </c>
      <c r="I3800">
        <f t="shared" si="1254"/>
        <v>900</v>
      </c>
      <c r="J3800" t="s">
        <v>167</v>
      </c>
      <c r="K3800">
        <v>480</v>
      </c>
      <c r="M3800">
        <f t="shared" si="1252"/>
        <v>480</v>
      </c>
      <c r="N3800">
        <f t="shared" si="1253"/>
        <v>420</v>
      </c>
    </row>
    <row r="3801" spans="1:14" x14ac:dyDescent="0.25">
      <c r="A3801">
        <v>46</v>
      </c>
      <c r="B3801" s="1">
        <v>44140</v>
      </c>
      <c r="C3801" t="str">
        <f t="shared" si="1251"/>
        <v>noviembre</v>
      </c>
      <c r="D3801" t="s">
        <v>85</v>
      </c>
      <c r="F3801" t="s">
        <v>266</v>
      </c>
      <c r="G3801">
        <v>1</v>
      </c>
      <c r="H3801">
        <v>250</v>
      </c>
      <c r="I3801">
        <f t="shared" si="1254"/>
        <v>250</v>
      </c>
      <c r="J3801" t="s">
        <v>166</v>
      </c>
      <c r="K3801">
        <v>170</v>
      </c>
      <c r="M3801">
        <f t="shared" si="1252"/>
        <v>170</v>
      </c>
      <c r="N3801">
        <f t="shared" si="1253"/>
        <v>80</v>
      </c>
    </row>
    <row r="3802" spans="1:14" x14ac:dyDescent="0.25">
      <c r="A3802">
        <v>47</v>
      </c>
      <c r="B3802" s="1">
        <v>44140</v>
      </c>
      <c r="C3802" t="str">
        <f t="shared" si="1251"/>
        <v>noviembre</v>
      </c>
      <c r="D3802" t="s">
        <v>55</v>
      </c>
      <c r="F3802" t="s">
        <v>416</v>
      </c>
      <c r="G3802">
        <v>2</v>
      </c>
      <c r="H3802">
        <v>270</v>
      </c>
      <c r="I3802">
        <f t="shared" si="1254"/>
        <v>540</v>
      </c>
      <c r="J3802" t="s">
        <v>167</v>
      </c>
      <c r="K3802">
        <v>207</v>
      </c>
      <c r="M3802">
        <f t="shared" si="1252"/>
        <v>414</v>
      </c>
      <c r="N3802">
        <f t="shared" si="1253"/>
        <v>126</v>
      </c>
    </row>
    <row r="3803" spans="1:14" x14ac:dyDescent="0.25">
      <c r="A3803">
        <v>48</v>
      </c>
      <c r="B3803" s="1">
        <v>44140</v>
      </c>
      <c r="C3803" t="str">
        <f t="shared" si="1251"/>
        <v>noviembre</v>
      </c>
      <c r="D3803" t="s">
        <v>25</v>
      </c>
      <c r="F3803" t="s">
        <v>142</v>
      </c>
      <c r="G3803">
        <v>1</v>
      </c>
      <c r="H3803">
        <v>60</v>
      </c>
      <c r="I3803">
        <f t="shared" si="1254"/>
        <v>60</v>
      </c>
      <c r="J3803" t="s">
        <v>165</v>
      </c>
      <c r="K3803">
        <v>34</v>
      </c>
      <c r="M3803">
        <f t="shared" si="1252"/>
        <v>34</v>
      </c>
      <c r="N3803">
        <f t="shared" si="1253"/>
        <v>26</v>
      </c>
    </row>
    <row r="3804" spans="1:14" x14ac:dyDescent="0.25">
      <c r="A3804">
        <v>49</v>
      </c>
      <c r="B3804" s="1">
        <v>44141</v>
      </c>
      <c r="C3804" t="str">
        <f t="shared" si="1251"/>
        <v>noviembre</v>
      </c>
      <c r="D3804" t="s">
        <v>15</v>
      </c>
      <c r="F3804" t="s">
        <v>421</v>
      </c>
      <c r="G3804">
        <v>1.7</v>
      </c>
      <c r="H3804">
        <v>300</v>
      </c>
      <c r="I3804">
        <f t="shared" si="1254"/>
        <v>510</v>
      </c>
      <c r="J3804" t="s">
        <v>167</v>
      </c>
      <c r="K3804">
        <v>253</v>
      </c>
      <c r="M3804">
        <f t="shared" si="1252"/>
        <v>430.09999999999997</v>
      </c>
      <c r="N3804">
        <f t="shared" si="1253"/>
        <v>79.900000000000034</v>
      </c>
    </row>
    <row r="3805" spans="1:14" x14ac:dyDescent="0.25">
      <c r="A3805">
        <v>50</v>
      </c>
      <c r="B3805" s="1">
        <v>44141</v>
      </c>
      <c r="C3805" t="str">
        <f t="shared" si="1251"/>
        <v>noviembre</v>
      </c>
      <c r="D3805" t="s">
        <v>55</v>
      </c>
      <c r="F3805" t="s">
        <v>39</v>
      </c>
      <c r="G3805">
        <f>10/17</f>
        <v>0.58823529411764708</v>
      </c>
      <c r="H3805">
        <v>300</v>
      </c>
      <c r="I3805">
        <f t="shared" si="1254"/>
        <v>176.47058823529412</v>
      </c>
      <c r="J3805" t="s">
        <v>167</v>
      </c>
      <c r="K3805">
        <v>268</v>
      </c>
      <c r="M3805">
        <f t="shared" si="1252"/>
        <v>157.64705882352942</v>
      </c>
      <c r="N3805">
        <f t="shared" si="1253"/>
        <v>18.823529411764696</v>
      </c>
    </row>
    <row r="3806" spans="1:14" x14ac:dyDescent="0.25">
      <c r="A3806">
        <v>51</v>
      </c>
      <c r="B3806" s="1">
        <v>44141</v>
      </c>
      <c r="C3806" t="str">
        <f t="shared" ref="C3806:C3841" si="1255">+TEXT(B3806,"mmmm")</f>
        <v>noviembre</v>
      </c>
      <c r="D3806" t="s">
        <v>15</v>
      </c>
      <c r="F3806" t="s">
        <v>481</v>
      </c>
      <c r="G3806">
        <v>2.15</v>
      </c>
      <c r="H3806">
        <v>250</v>
      </c>
      <c r="I3806">
        <f t="shared" si="1254"/>
        <v>537.5</v>
      </c>
      <c r="J3806" t="s">
        <v>163</v>
      </c>
      <c r="K3806">
        <v>220</v>
      </c>
      <c r="M3806">
        <f t="shared" si="1252"/>
        <v>473</v>
      </c>
      <c r="N3806">
        <f t="shared" si="1253"/>
        <v>64.5</v>
      </c>
    </row>
    <row r="3807" spans="1:14" x14ac:dyDescent="0.25">
      <c r="A3807">
        <v>52</v>
      </c>
      <c r="B3807" s="1">
        <v>44141</v>
      </c>
      <c r="C3807" t="str">
        <f t="shared" si="1255"/>
        <v>noviembre</v>
      </c>
      <c r="D3807" t="s">
        <v>15</v>
      </c>
      <c r="F3807" t="s">
        <v>80</v>
      </c>
      <c r="G3807">
        <f>2/10*2.31</f>
        <v>0.46200000000000002</v>
      </c>
      <c r="H3807">
        <v>280</v>
      </c>
      <c r="I3807">
        <f t="shared" si="1254"/>
        <v>129.36000000000001</v>
      </c>
      <c r="J3807" t="s">
        <v>163</v>
      </c>
      <c r="K3807">
        <v>242</v>
      </c>
      <c r="M3807">
        <f t="shared" si="1252"/>
        <v>111.804</v>
      </c>
      <c r="N3807">
        <f t="shared" si="1253"/>
        <v>17.556000000000012</v>
      </c>
    </row>
    <row r="3808" spans="1:14" x14ac:dyDescent="0.25">
      <c r="A3808">
        <v>53</v>
      </c>
      <c r="B3808" s="1">
        <v>44141</v>
      </c>
      <c r="C3808" t="str">
        <f t="shared" si="1255"/>
        <v>noviembre</v>
      </c>
      <c r="D3808" t="s">
        <v>15</v>
      </c>
      <c r="F3808" t="s">
        <v>29</v>
      </c>
      <c r="G3808">
        <v>1</v>
      </c>
      <c r="H3808">
        <v>240</v>
      </c>
      <c r="I3808">
        <f t="shared" si="1254"/>
        <v>240</v>
      </c>
      <c r="J3808" t="s">
        <v>163</v>
      </c>
      <c r="K3808">
        <v>212</v>
      </c>
      <c r="M3808">
        <f t="shared" si="1252"/>
        <v>212</v>
      </c>
      <c r="N3808">
        <f t="shared" si="1253"/>
        <v>28</v>
      </c>
    </row>
    <row r="3809" spans="1:14" x14ac:dyDescent="0.25">
      <c r="A3809">
        <v>54</v>
      </c>
      <c r="B3809" s="1">
        <v>44141</v>
      </c>
      <c r="C3809" t="str">
        <f t="shared" si="1255"/>
        <v>noviembre</v>
      </c>
      <c r="D3809" t="s">
        <v>56</v>
      </c>
      <c r="F3809" t="s">
        <v>267</v>
      </c>
      <c r="G3809">
        <v>1</v>
      </c>
      <c r="H3809">
        <v>155</v>
      </c>
      <c r="I3809">
        <f t="shared" si="1254"/>
        <v>155</v>
      </c>
      <c r="J3809" t="s">
        <v>163</v>
      </c>
      <c r="K3809">
        <v>125</v>
      </c>
      <c r="M3809">
        <f t="shared" si="1252"/>
        <v>125</v>
      </c>
      <c r="N3809">
        <f t="shared" si="1253"/>
        <v>30</v>
      </c>
    </row>
    <row r="3810" spans="1:14" x14ac:dyDescent="0.25">
      <c r="A3810">
        <v>55</v>
      </c>
      <c r="B3810" s="1">
        <v>44141</v>
      </c>
      <c r="C3810" t="str">
        <f t="shared" si="1255"/>
        <v>noviembre</v>
      </c>
      <c r="D3810" t="s">
        <v>15</v>
      </c>
      <c r="F3810" t="s">
        <v>29</v>
      </c>
      <c r="G3810">
        <v>5</v>
      </c>
      <c r="H3810">
        <v>240</v>
      </c>
      <c r="I3810">
        <f t="shared" si="1254"/>
        <v>1200</v>
      </c>
      <c r="J3810" t="s">
        <v>163</v>
      </c>
      <c r="K3810">
        <v>212</v>
      </c>
      <c r="M3810">
        <f t="shared" si="1252"/>
        <v>1060</v>
      </c>
      <c r="N3810">
        <f t="shared" si="1253"/>
        <v>140</v>
      </c>
    </row>
    <row r="3811" spans="1:14" x14ac:dyDescent="0.25">
      <c r="A3811">
        <v>56</v>
      </c>
      <c r="B3811" s="1">
        <v>44142</v>
      </c>
      <c r="C3811" t="str">
        <f t="shared" si="1255"/>
        <v>noviembre</v>
      </c>
      <c r="D3811" t="s">
        <v>26</v>
      </c>
      <c r="F3811" t="s">
        <v>522</v>
      </c>
      <c r="G3811">
        <v>8.64</v>
      </c>
      <c r="H3811">
        <v>425</v>
      </c>
      <c r="I3811">
        <f t="shared" si="1254"/>
        <v>3672.0000000000005</v>
      </c>
      <c r="J3811" t="s">
        <v>167</v>
      </c>
      <c r="K3811">
        <v>350</v>
      </c>
      <c r="M3811">
        <f t="shared" si="1252"/>
        <v>3024</v>
      </c>
      <c r="N3811">
        <f t="shared" si="1253"/>
        <v>648.00000000000045</v>
      </c>
    </row>
    <row r="3812" spans="1:14" x14ac:dyDescent="0.25">
      <c r="A3812">
        <v>57</v>
      </c>
      <c r="B3812" s="1">
        <v>44142</v>
      </c>
      <c r="C3812" t="str">
        <f t="shared" si="1255"/>
        <v>noviembre</v>
      </c>
      <c r="D3812" t="s">
        <v>25</v>
      </c>
      <c r="F3812" t="s">
        <v>57</v>
      </c>
      <c r="G3812">
        <v>1</v>
      </c>
      <c r="H3812">
        <v>60</v>
      </c>
      <c r="I3812">
        <f t="shared" si="1254"/>
        <v>60</v>
      </c>
      <c r="J3812" t="s">
        <v>165</v>
      </c>
      <c r="K3812">
        <v>34</v>
      </c>
      <c r="M3812">
        <f t="shared" si="1252"/>
        <v>34</v>
      </c>
      <c r="N3812">
        <f t="shared" si="1253"/>
        <v>26</v>
      </c>
    </row>
    <row r="3813" spans="1:14" x14ac:dyDescent="0.25">
      <c r="A3813">
        <v>58</v>
      </c>
      <c r="B3813" s="1">
        <v>44142</v>
      </c>
      <c r="C3813" t="str">
        <f t="shared" si="1255"/>
        <v>noviembre</v>
      </c>
      <c r="D3813" t="s">
        <v>15</v>
      </c>
      <c r="F3813" t="s">
        <v>29</v>
      </c>
      <c r="G3813">
        <v>34</v>
      </c>
      <c r="H3813">
        <v>240</v>
      </c>
      <c r="I3813">
        <f t="shared" si="1254"/>
        <v>8160</v>
      </c>
      <c r="J3813" t="s">
        <v>163</v>
      </c>
      <c r="K3813">
        <v>212</v>
      </c>
      <c r="M3813">
        <f t="shared" si="1252"/>
        <v>7208</v>
      </c>
      <c r="N3813">
        <f t="shared" si="1253"/>
        <v>952</v>
      </c>
    </row>
    <row r="3814" spans="1:14" x14ac:dyDescent="0.25">
      <c r="A3814">
        <v>59</v>
      </c>
      <c r="B3814" s="1">
        <v>44142</v>
      </c>
      <c r="C3814" t="str">
        <f t="shared" si="1255"/>
        <v>noviembre</v>
      </c>
      <c r="D3814" t="s">
        <v>56</v>
      </c>
      <c r="F3814" t="s">
        <v>236</v>
      </c>
      <c r="G3814">
        <v>6</v>
      </c>
      <c r="H3814">
        <v>120</v>
      </c>
      <c r="I3814">
        <f t="shared" si="1254"/>
        <v>720</v>
      </c>
      <c r="J3814" t="s">
        <v>165</v>
      </c>
      <c r="K3814">
        <v>83</v>
      </c>
      <c r="M3814">
        <f t="shared" si="1252"/>
        <v>498</v>
      </c>
      <c r="N3814">
        <f t="shared" si="1253"/>
        <v>222</v>
      </c>
    </row>
    <row r="3815" spans="1:14" x14ac:dyDescent="0.25">
      <c r="A3815">
        <v>60</v>
      </c>
      <c r="B3815" s="1">
        <v>44142</v>
      </c>
      <c r="C3815" t="str">
        <f t="shared" si="1255"/>
        <v>noviembre</v>
      </c>
      <c r="D3815" t="s">
        <v>44</v>
      </c>
      <c r="F3815" t="s">
        <v>138</v>
      </c>
      <c r="G3815">
        <v>1</v>
      </c>
      <c r="H3815">
        <v>35</v>
      </c>
      <c r="I3815">
        <f t="shared" si="1254"/>
        <v>35</v>
      </c>
      <c r="J3815" t="s">
        <v>166</v>
      </c>
      <c r="K3815">
        <v>26</v>
      </c>
      <c r="M3815">
        <f t="shared" si="1252"/>
        <v>26</v>
      </c>
      <c r="N3815">
        <f t="shared" si="1253"/>
        <v>9</v>
      </c>
    </row>
    <row r="3816" spans="1:14" x14ac:dyDescent="0.25">
      <c r="A3816">
        <v>61</v>
      </c>
      <c r="B3816" s="1">
        <v>44142</v>
      </c>
      <c r="C3816" t="str">
        <f t="shared" si="1255"/>
        <v>noviembre</v>
      </c>
      <c r="D3816" t="s">
        <v>24</v>
      </c>
      <c r="F3816" t="s">
        <v>24</v>
      </c>
      <c r="G3816">
        <v>3.2</v>
      </c>
      <c r="H3816">
        <v>100</v>
      </c>
      <c r="I3816">
        <f t="shared" si="1254"/>
        <v>320</v>
      </c>
      <c r="J3816" t="s">
        <v>186</v>
      </c>
      <c r="K3816">
        <v>80</v>
      </c>
      <c r="M3816">
        <f t="shared" si="1252"/>
        <v>256</v>
      </c>
      <c r="N3816">
        <f t="shared" si="1253"/>
        <v>64</v>
      </c>
    </row>
    <row r="3817" spans="1:14" x14ac:dyDescent="0.25">
      <c r="A3817">
        <v>62</v>
      </c>
      <c r="B3817" s="1">
        <v>44142</v>
      </c>
      <c r="C3817" t="str">
        <f t="shared" si="1255"/>
        <v>noviembre</v>
      </c>
      <c r="D3817" t="s">
        <v>26</v>
      </c>
      <c r="F3817" t="s">
        <v>532</v>
      </c>
      <c r="G3817">
        <v>15</v>
      </c>
      <c r="H3817">
        <v>380</v>
      </c>
      <c r="I3817">
        <f t="shared" si="1254"/>
        <v>5700</v>
      </c>
      <c r="J3817" t="s">
        <v>99</v>
      </c>
      <c r="K3817">
        <v>341</v>
      </c>
      <c r="M3817">
        <f t="shared" si="1252"/>
        <v>5115</v>
      </c>
      <c r="N3817">
        <f t="shared" si="1253"/>
        <v>585</v>
      </c>
    </row>
    <row r="3818" spans="1:14" x14ac:dyDescent="0.25">
      <c r="A3818">
        <v>63</v>
      </c>
      <c r="B3818" s="1">
        <v>44142</v>
      </c>
      <c r="C3818" t="str">
        <f t="shared" si="1255"/>
        <v>noviembre</v>
      </c>
      <c r="D3818" t="s">
        <v>15</v>
      </c>
      <c r="F3818" t="s">
        <v>538</v>
      </c>
      <c r="G3818">
        <v>7</v>
      </c>
      <c r="H3818">
        <v>240</v>
      </c>
      <c r="I3818">
        <f t="shared" si="1254"/>
        <v>1680</v>
      </c>
      <c r="J3818" t="s">
        <v>167</v>
      </c>
      <c r="K3818">
        <v>207</v>
      </c>
      <c r="M3818">
        <f t="shared" si="1252"/>
        <v>1449</v>
      </c>
      <c r="N3818">
        <f t="shared" si="1253"/>
        <v>231</v>
      </c>
    </row>
    <row r="3819" spans="1:14" x14ac:dyDescent="0.25">
      <c r="A3819">
        <v>64</v>
      </c>
      <c r="B3819" s="1">
        <v>44142</v>
      </c>
      <c r="C3819" t="str">
        <f t="shared" si="1255"/>
        <v>noviembre</v>
      </c>
      <c r="D3819" t="s">
        <v>56</v>
      </c>
      <c r="F3819" t="s">
        <v>267</v>
      </c>
      <c r="G3819">
        <v>2</v>
      </c>
      <c r="H3819">
        <v>155</v>
      </c>
      <c r="I3819">
        <f t="shared" si="1254"/>
        <v>310</v>
      </c>
      <c r="J3819" t="s">
        <v>163</v>
      </c>
      <c r="K3819">
        <v>125</v>
      </c>
      <c r="M3819">
        <f t="shared" ref="M3819:M3831" si="1256">+IF(K3819=0,(""),(K3819*G3819))</f>
        <v>250</v>
      </c>
      <c r="N3819">
        <f t="shared" ref="N3819:N3831" si="1257">+IF(K3819=0,(""),(I3819-M3819))</f>
        <v>60</v>
      </c>
    </row>
    <row r="3820" spans="1:14" x14ac:dyDescent="0.25">
      <c r="A3820">
        <v>65</v>
      </c>
      <c r="B3820" s="1">
        <v>44142</v>
      </c>
      <c r="C3820" t="str">
        <f t="shared" si="1255"/>
        <v>noviembre</v>
      </c>
      <c r="D3820" t="s">
        <v>15</v>
      </c>
      <c r="F3820" t="s">
        <v>131</v>
      </c>
      <c r="G3820">
        <f>2/9</f>
        <v>0.22222222222222221</v>
      </c>
      <c r="H3820">
        <v>300</v>
      </c>
      <c r="I3820">
        <f t="shared" si="1254"/>
        <v>66.666666666666657</v>
      </c>
      <c r="J3820" t="s">
        <v>167</v>
      </c>
      <c r="K3820">
        <v>268</v>
      </c>
      <c r="M3820">
        <f t="shared" si="1256"/>
        <v>59.55555555555555</v>
      </c>
      <c r="N3820">
        <f t="shared" si="1257"/>
        <v>7.1111111111111072</v>
      </c>
    </row>
    <row r="3821" spans="1:14" x14ac:dyDescent="0.25">
      <c r="A3821">
        <v>66</v>
      </c>
      <c r="B3821" s="1">
        <v>44142</v>
      </c>
      <c r="C3821" t="str">
        <f t="shared" si="1255"/>
        <v>noviembre</v>
      </c>
      <c r="D3821" t="s">
        <v>85</v>
      </c>
      <c r="F3821" t="s">
        <v>539</v>
      </c>
      <c r="G3821">
        <v>1</v>
      </c>
      <c r="H3821">
        <v>750</v>
      </c>
      <c r="I3821">
        <f t="shared" si="1254"/>
        <v>750</v>
      </c>
      <c r="J3821" t="s">
        <v>167</v>
      </c>
      <c r="K3821">
        <v>573</v>
      </c>
      <c r="M3821">
        <f t="shared" si="1256"/>
        <v>573</v>
      </c>
      <c r="N3821">
        <f t="shared" si="1257"/>
        <v>177</v>
      </c>
    </row>
    <row r="3822" spans="1:14" x14ac:dyDescent="0.25">
      <c r="A3822">
        <v>67</v>
      </c>
      <c r="B3822" s="1">
        <v>44142</v>
      </c>
      <c r="C3822" t="str">
        <f t="shared" si="1255"/>
        <v>noviembre</v>
      </c>
      <c r="D3822" t="s">
        <v>15</v>
      </c>
      <c r="F3822" t="s">
        <v>540</v>
      </c>
      <c r="G3822">
        <v>23</v>
      </c>
      <c r="H3822">
        <v>240</v>
      </c>
      <c r="I3822">
        <f t="shared" si="1254"/>
        <v>5520</v>
      </c>
      <c r="J3822" t="s">
        <v>167</v>
      </c>
      <c r="K3822">
        <v>207</v>
      </c>
      <c r="M3822">
        <f t="shared" si="1256"/>
        <v>4761</v>
      </c>
      <c r="N3822">
        <f t="shared" si="1257"/>
        <v>759</v>
      </c>
    </row>
    <row r="3823" spans="1:14" x14ac:dyDescent="0.25">
      <c r="A3823">
        <v>68</v>
      </c>
      <c r="B3823" s="1">
        <v>44142</v>
      </c>
      <c r="C3823" t="str">
        <f t="shared" si="1255"/>
        <v>noviembre</v>
      </c>
      <c r="D3823" t="s">
        <v>55</v>
      </c>
      <c r="F3823" t="s">
        <v>22</v>
      </c>
      <c r="G3823">
        <v>1.5</v>
      </c>
      <c r="H3823">
        <v>300</v>
      </c>
      <c r="I3823">
        <f t="shared" si="1254"/>
        <v>450</v>
      </c>
      <c r="J3823" t="s">
        <v>167</v>
      </c>
      <c r="K3823">
        <v>268</v>
      </c>
      <c r="M3823">
        <f t="shared" si="1256"/>
        <v>402</v>
      </c>
      <c r="N3823">
        <f t="shared" si="1257"/>
        <v>48</v>
      </c>
    </row>
    <row r="3824" spans="1:14" x14ac:dyDescent="0.25">
      <c r="A3824">
        <v>69</v>
      </c>
      <c r="B3824" s="1">
        <v>44142</v>
      </c>
      <c r="C3824" t="str">
        <f t="shared" si="1255"/>
        <v>noviembre</v>
      </c>
      <c r="D3824" t="s">
        <v>15</v>
      </c>
      <c r="F3824" t="s">
        <v>29</v>
      </c>
      <c r="G3824">
        <v>11</v>
      </c>
      <c r="H3824">
        <v>240</v>
      </c>
      <c r="I3824">
        <f t="shared" si="1254"/>
        <v>2640</v>
      </c>
      <c r="J3824" t="s">
        <v>163</v>
      </c>
      <c r="K3824">
        <v>212</v>
      </c>
      <c r="M3824">
        <f t="shared" si="1256"/>
        <v>2332</v>
      </c>
      <c r="N3824">
        <f t="shared" si="1257"/>
        <v>308</v>
      </c>
    </row>
    <row r="3825" spans="1:14" x14ac:dyDescent="0.25">
      <c r="A3825">
        <v>70</v>
      </c>
      <c r="B3825" s="1">
        <v>44142</v>
      </c>
      <c r="C3825" t="str">
        <f t="shared" si="1255"/>
        <v>noviembre</v>
      </c>
      <c r="D3825" t="s">
        <v>25</v>
      </c>
      <c r="F3825" t="s">
        <v>130</v>
      </c>
      <c r="G3825">
        <v>1</v>
      </c>
      <c r="H3825">
        <v>60</v>
      </c>
      <c r="I3825">
        <f t="shared" si="1254"/>
        <v>60</v>
      </c>
      <c r="J3825" t="s">
        <v>165</v>
      </c>
      <c r="K3825">
        <v>34</v>
      </c>
      <c r="M3825">
        <f t="shared" si="1256"/>
        <v>34</v>
      </c>
      <c r="N3825">
        <f t="shared" si="1257"/>
        <v>26</v>
      </c>
    </row>
    <row r="3826" spans="1:14" x14ac:dyDescent="0.25">
      <c r="A3826">
        <v>71</v>
      </c>
      <c r="B3826" s="1">
        <v>44142</v>
      </c>
      <c r="C3826" t="str">
        <f t="shared" si="1255"/>
        <v>noviembre</v>
      </c>
      <c r="D3826" t="s">
        <v>25</v>
      </c>
      <c r="F3826" t="s">
        <v>127</v>
      </c>
      <c r="G3826">
        <v>2</v>
      </c>
      <c r="H3826">
        <v>60</v>
      </c>
      <c r="I3826">
        <f t="shared" si="1254"/>
        <v>120</v>
      </c>
      <c r="J3826" t="s">
        <v>165</v>
      </c>
      <c r="K3826">
        <v>34</v>
      </c>
      <c r="M3826">
        <f t="shared" si="1256"/>
        <v>68</v>
      </c>
      <c r="N3826">
        <f t="shared" si="1257"/>
        <v>52</v>
      </c>
    </row>
    <row r="3827" spans="1:14" x14ac:dyDescent="0.25">
      <c r="A3827">
        <v>72</v>
      </c>
      <c r="B3827" s="1">
        <v>44142</v>
      </c>
      <c r="C3827" t="str">
        <f t="shared" si="1255"/>
        <v>noviembre</v>
      </c>
      <c r="D3827" t="s">
        <v>15</v>
      </c>
      <c r="F3827" t="s">
        <v>525</v>
      </c>
      <c r="G3827">
        <v>5</v>
      </c>
      <c r="H3827">
        <v>250</v>
      </c>
      <c r="I3827">
        <f t="shared" si="1254"/>
        <v>1250</v>
      </c>
      <c r="J3827" t="s">
        <v>167</v>
      </c>
      <c r="K3827">
        <v>219</v>
      </c>
      <c r="M3827">
        <f t="shared" si="1256"/>
        <v>1095</v>
      </c>
      <c r="N3827">
        <f t="shared" si="1257"/>
        <v>155</v>
      </c>
    </row>
    <row r="3828" spans="1:14" x14ac:dyDescent="0.25">
      <c r="A3828">
        <v>73</v>
      </c>
      <c r="B3828" s="1">
        <v>44142</v>
      </c>
      <c r="C3828" t="str">
        <f t="shared" si="1255"/>
        <v>noviembre</v>
      </c>
      <c r="D3828" t="s">
        <v>55</v>
      </c>
      <c r="F3828" t="s">
        <v>39</v>
      </c>
      <c r="G3828">
        <f>3/17</f>
        <v>0.17647058823529413</v>
      </c>
      <c r="H3828">
        <v>300</v>
      </c>
      <c r="I3828">
        <f t="shared" si="1254"/>
        <v>52.941176470588239</v>
      </c>
      <c r="J3828" t="s">
        <v>167</v>
      </c>
      <c r="K3828">
        <v>268</v>
      </c>
      <c r="M3828">
        <f t="shared" si="1256"/>
        <v>47.294117647058826</v>
      </c>
      <c r="N3828">
        <f t="shared" si="1257"/>
        <v>5.647058823529413</v>
      </c>
    </row>
    <row r="3829" spans="1:14" x14ac:dyDescent="0.25">
      <c r="A3829">
        <v>74</v>
      </c>
      <c r="B3829" s="1">
        <v>44142</v>
      </c>
      <c r="C3829" t="str">
        <f t="shared" si="1255"/>
        <v>noviembre</v>
      </c>
      <c r="D3829" t="s">
        <v>15</v>
      </c>
      <c r="F3829" t="s">
        <v>397</v>
      </c>
      <c r="G3829">
        <v>3</v>
      </c>
      <c r="H3829">
        <v>250</v>
      </c>
      <c r="I3829">
        <f t="shared" si="1254"/>
        <v>750</v>
      </c>
      <c r="J3829" t="s">
        <v>167</v>
      </c>
      <c r="K3829">
        <v>219</v>
      </c>
      <c r="M3829">
        <f t="shared" si="1256"/>
        <v>657</v>
      </c>
      <c r="N3829">
        <f t="shared" si="1257"/>
        <v>93</v>
      </c>
    </row>
    <row r="3830" spans="1:14" x14ac:dyDescent="0.25">
      <c r="A3830">
        <v>75</v>
      </c>
      <c r="B3830" s="1">
        <v>44142</v>
      </c>
      <c r="C3830" t="str">
        <f t="shared" si="1255"/>
        <v>noviembre</v>
      </c>
      <c r="D3830" t="s">
        <v>70</v>
      </c>
      <c r="F3830" t="s">
        <v>269</v>
      </c>
      <c r="G3830">
        <v>1</v>
      </c>
      <c r="H3830">
        <v>1950</v>
      </c>
      <c r="I3830">
        <f t="shared" si="1254"/>
        <v>1950</v>
      </c>
      <c r="J3830" t="s">
        <v>167</v>
      </c>
      <c r="K3830">
        <v>1707</v>
      </c>
      <c r="M3830">
        <f t="shared" si="1256"/>
        <v>1707</v>
      </c>
      <c r="N3830">
        <f t="shared" si="1257"/>
        <v>243</v>
      </c>
    </row>
    <row r="3831" spans="1:14" x14ac:dyDescent="0.25">
      <c r="A3831">
        <v>76</v>
      </c>
      <c r="B3831" s="1">
        <v>44144</v>
      </c>
      <c r="C3831" t="str">
        <f t="shared" si="1255"/>
        <v>noviembre</v>
      </c>
      <c r="D3831" t="s">
        <v>24</v>
      </c>
      <c r="F3831" t="s">
        <v>24</v>
      </c>
      <c r="G3831">
        <v>1</v>
      </c>
      <c r="H3831">
        <v>100</v>
      </c>
      <c r="I3831">
        <f t="shared" si="1254"/>
        <v>100</v>
      </c>
      <c r="J3831" t="s">
        <v>186</v>
      </c>
      <c r="K3831">
        <v>80</v>
      </c>
      <c r="M3831">
        <f t="shared" si="1256"/>
        <v>80</v>
      </c>
      <c r="N3831">
        <f t="shared" si="1257"/>
        <v>20</v>
      </c>
    </row>
    <row r="3832" spans="1:14" x14ac:dyDescent="0.25">
      <c r="A3832">
        <v>77</v>
      </c>
      <c r="B3832" s="1">
        <v>44144</v>
      </c>
      <c r="C3832" t="str">
        <f t="shared" si="1255"/>
        <v>noviembre</v>
      </c>
      <c r="D3832" t="s">
        <v>15</v>
      </c>
      <c r="F3832" t="s">
        <v>401</v>
      </c>
      <c r="G3832">
        <f>2/9</f>
        <v>0.22222222222222221</v>
      </c>
      <c r="H3832">
        <v>300</v>
      </c>
      <c r="I3832">
        <f t="shared" si="1254"/>
        <v>66.666666666666657</v>
      </c>
      <c r="J3832" t="s">
        <v>167</v>
      </c>
      <c r="K3832">
        <v>268</v>
      </c>
      <c r="M3832">
        <f t="shared" ref="M3832:M3841" si="1258">+IF(K3832=0,(""),(K3832*G3832))</f>
        <v>59.55555555555555</v>
      </c>
      <c r="N3832">
        <f t="shared" ref="N3832:N3840" si="1259">+IF(K3832=0,(""),(I3832-M3832))</f>
        <v>7.1111111111111072</v>
      </c>
    </row>
    <row r="3833" spans="1:14" x14ac:dyDescent="0.25">
      <c r="A3833">
        <v>78</v>
      </c>
      <c r="B3833" s="1">
        <v>44144</v>
      </c>
      <c r="C3833" t="str">
        <f t="shared" si="1255"/>
        <v>noviembre</v>
      </c>
      <c r="D3833" t="s">
        <v>15</v>
      </c>
      <c r="F3833" t="s">
        <v>19</v>
      </c>
      <c r="G3833">
        <v>23</v>
      </c>
      <c r="H3833">
        <v>295</v>
      </c>
      <c r="I3833">
        <f t="shared" si="1254"/>
        <v>6785</v>
      </c>
      <c r="J3833" t="s">
        <v>167</v>
      </c>
      <c r="K3833">
        <v>268</v>
      </c>
      <c r="M3833">
        <f t="shared" si="1258"/>
        <v>6164</v>
      </c>
      <c r="N3833">
        <f t="shared" si="1259"/>
        <v>621</v>
      </c>
    </row>
    <row r="3834" spans="1:14" x14ac:dyDescent="0.25">
      <c r="A3834">
        <v>79</v>
      </c>
      <c r="B3834" s="1">
        <v>44144</v>
      </c>
      <c r="C3834" t="str">
        <f t="shared" si="1255"/>
        <v>noviembre</v>
      </c>
      <c r="D3834" t="s">
        <v>25</v>
      </c>
      <c r="F3834" t="s">
        <v>225</v>
      </c>
      <c r="G3834">
        <v>2</v>
      </c>
      <c r="H3834">
        <v>60</v>
      </c>
      <c r="I3834">
        <f t="shared" si="1254"/>
        <v>120</v>
      </c>
      <c r="J3834" t="s">
        <v>165</v>
      </c>
      <c r="K3834">
        <v>34</v>
      </c>
      <c r="M3834">
        <f t="shared" si="1258"/>
        <v>68</v>
      </c>
      <c r="N3834">
        <f t="shared" si="1259"/>
        <v>52</v>
      </c>
    </row>
    <row r="3835" spans="1:14" x14ac:dyDescent="0.25">
      <c r="A3835">
        <v>80</v>
      </c>
      <c r="B3835" s="1">
        <v>44144</v>
      </c>
      <c r="C3835" t="str">
        <f t="shared" si="1255"/>
        <v>noviembre</v>
      </c>
      <c r="D3835" t="s">
        <v>15</v>
      </c>
      <c r="F3835" t="s">
        <v>29</v>
      </c>
      <c r="G3835">
        <v>1</v>
      </c>
      <c r="H3835">
        <v>240</v>
      </c>
      <c r="I3835">
        <f t="shared" si="1254"/>
        <v>240</v>
      </c>
      <c r="J3835" t="s">
        <v>163</v>
      </c>
      <c r="K3835">
        <v>212</v>
      </c>
      <c r="M3835">
        <f t="shared" si="1258"/>
        <v>212</v>
      </c>
      <c r="N3835">
        <f t="shared" si="1259"/>
        <v>28</v>
      </c>
    </row>
    <row r="3836" spans="1:14" x14ac:dyDescent="0.25">
      <c r="A3836">
        <v>81</v>
      </c>
      <c r="B3836" s="1">
        <v>44144</v>
      </c>
      <c r="C3836" t="str">
        <f t="shared" si="1255"/>
        <v>noviembre</v>
      </c>
      <c r="D3836" t="s">
        <v>55</v>
      </c>
      <c r="F3836" t="s">
        <v>473</v>
      </c>
      <c r="G3836">
        <v>3</v>
      </c>
      <c r="H3836">
        <v>270</v>
      </c>
      <c r="I3836">
        <f t="shared" si="1254"/>
        <v>810</v>
      </c>
      <c r="J3836" t="s">
        <v>167</v>
      </c>
      <c r="K3836">
        <v>207</v>
      </c>
      <c r="M3836">
        <f t="shared" si="1258"/>
        <v>621</v>
      </c>
      <c r="N3836">
        <f t="shared" si="1259"/>
        <v>189</v>
      </c>
    </row>
    <row r="3837" spans="1:14" x14ac:dyDescent="0.25">
      <c r="A3837">
        <v>82</v>
      </c>
      <c r="B3837" s="1">
        <v>44144</v>
      </c>
      <c r="C3837" t="str">
        <f t="shared" si="1255"/>
        <v>noviembre</v>
      </c>
      <c r="D3837" t="s">
        <v>25</v>
      </c>
      <c r="F3837" t="s">
        <v>127</v>
      </c>
      <c r="G3837">
        <v>1</v>
      </c>
      <c r="H3837">
        <v>60</v>
      </c>
      <c r="I3837">
        <f t="shared" si="1254"/>
        <v>60</v>
      </c>
      <c r="J3837" t="s">
        <v>165</v>
      </c>
      <c r="K3837">
        <v>34</v>
      </c>
      <c r="M3837">
        <f t="shared" si="1258"/>
        <v>34</v>
      </c>
      <c r="N3837">
        <f t="shared" si="1259"/>
        <v>26</v>
      </c>
    </row>
    <row r="3838" spans="1:14" x14ac:dyDescent="0.25">
      <c r="A3838">
        <v>83</v>
      </c>
      <c r="B3838" s="1">
        <v>44144</v>
      </c>
      <c r="C3838" t="str">
        <f t="shared" si="1255"/>
        <v>noviembre</v>
      </c>
      <c r="D3838" t="s">
        <v>26</v>
      </c>
      <c r="F3838" t="s">
        <v>532</v>
      </c>
      <c r="G3838">
        <v>65</v>
      </c>
      <c r="H3838">
        <v>380</v>
      </c>
      <c r="I3838">
        <f t="shared" si="1254"/>
        <v>24700</v>
      </c>
      <c r="J3838" t="s">
        <v>99</v>
      </c>
      <c r="K3838">
        <v>340</v>
      </c>
      <c r="M3838">
        <f t="shared" si="1258"/>
        <v>22100</v>
      </c>
      <c r="N3838">
        <f t="shared" si="1259"/>
        <v>2600</v>
      </c>
    </row>
    <row r="3839" spans="1:14" x14ac:dyDescent="0.25">
      <c r="A3839">
        <v>84</v>
      </c>
      <c r="B3839" s="1">
        <v>44144</v>
      </c>
      <c r="C3839" t="str">
        <f t="shared" si="1255"/>
        <v>noviembre</v>
      </c>
      <c r="D3839" t="s">
        <v>56</v>
      </c>
      <c r="F3839" t="s">
        <v>176</v>
      </c>
      <c r="G3839">
        <v>10</v>
      </c>
      <c r="H3839">
        <v>250</v>
      </c>
      <c r="I3839">
        <f t="shared" si="1254"/>
        <v>2500</v>
      </c>
      <c r="J3839" t="s">
        <v>163</v>
      </c>
      <c r="K3839">
        <v>189</v>
      </c>
      <c r="M3839">
        <f t="shared" si="1258"/>
        <v>1890</v>
      </c>
      <c r="N3839">
        <f t="shared" si="1259"/>
        <v>610</v>
      </c>
    </row>
    <row r="3840" spans="1:14" x14ac:dyDescent="0.25">
      <c r="A3840">
        <v>85</v>
      </c>
      <c r="B3840" s="1">
        <v>44144</v>
      </c>
      <c r="C3840" t="str">
        <f t="shared" si="1255"/>
        <v>noviembre</v>
      </c>
      <c r="D3840" t="s">
        <v>25</v>
      </c>
      <c r="F3840" t="s">
        <v>128</v>
      </c>
      <c r="G3840">
        <v>14</v>
      </c>
      <c r="H3840">
        <v>60</v>
      </c>
      <c r="I3840">
        <f t="shared" si="1254"/>
        <v>840</v>
      </c>
      <c r="J3840" t="s">
        <v>165</v>
      </c>
      <c r="K3840">
        <v>34</v>
      </c>
      <c r="M3840">
        <f t="shared" si="1258"/>
        <v>476</v>
      </c>
      <c r="N3840">
        <f t="shared" si="1259"/>
        <v>364</v>
      </c>
    </row>
    <row r="3841" spans="1:14" x14ac:dyDescent="0.25">
      <c r="A3841">
        <v>86</v>
      </c>
      <c r="B3841" s="1">
        <v>44144</v>
      </c>
      <c r="C3841" t="str">
        <f t="shared" si="1255"/>
        <v>noviembre</v>
      </c>
      <c r="D3841" t="s">
        <v>44</v>
      </c>
      <c r="F3841" t="s">
        <v>382</v>
      </c>
      <c r="G3841">
        <v>4</v>
      </c>
      <c r="H3841">
        <v>35</v>
      </c>
      <c r="I3841">
        <f t="shared" si="1254"/>
        <v>140</v>
      </c>
      <c r="J3841" t="s">
        <v>166</v>
      </c>
      <c r="K3841">
        <v>22</v>
      </c>
      <c r="M3841">
        <f t="shared" si="1258"/>
        <v>88</v>
      </c>
      <c r="N3841">
        <f>+IF(K3841=0,(""),(I3841-M3841))</f>
        <v>52</v>
      </c>
    </row>
    <row r="3849" spans="1:14" x14ac:dyDescent="0.25">
      <c r="A3849" s="53" t="s">
        <v>0</v>
      </c>
      <c r="B3849" s="53" t="s">
        <v>1</v>
      </c>
      <c r="C3849" s="53" t="s">
        <v>7</v>
      </c>
      <c r="D3849" s="53" t="s">
        <v>12</v>
      </c>
      <c r="E3849" s="54" t="s">
        <v>608</v>
      </c>
      <c r="F3849" s="53" t="s">
        <v>2</v>
      </c>
      <c r="G3849" s="53" t="s">
        <v>3</v>
      </c>
      <c r="H3849" s="53" t="s">
        <v>4</v>
      </c>
      <c r="I3849" s="53" t="s">
        <v>5</v>
      </c>
      <c r="J3849" s="54" t="s">
        <v>6</v>
      </c>
      <c r="K3849" s="54" t="s">
        <v>36</v>
      </c>
      <c r="L3849" s="54" t="s">
        <v>49</v>
      </c>
      <c r="M3849" s="53" t="s">
        <v>37</v>
      </c>
      <c r="N3849" s="53" t="s">
        <v>11</v>
      </c>
    </row>
    <row r="3850" spans="1:14" x14ac:dyDescent="0.25">
      <c r="A3850">
        <v>87</v>
      </c>
      <c r="B3850" s="1">
        <v>44145</v>
      </c>
      <c r="C3850" t="str">
        <f>IF(Ventas[[#This Row],[Fecha ]]="","",+TEXT(B3850,"mmmm"))</f>
        <v>noviembre</v>
      </c>
      <c r="D3850" t="str">
        <f>IFERROR(+VLOOKUP(Ventas[[#This Row],[Codigo de Producto]],Productos[#All],3,FALSE),"")</f>
        <v>Plasterbond</v>
      </c>
      <c r="E3850" t="s">
        <v>713</v>
      </c>
      <c r="F3850" t="str">
        <f>IFERROR(+VLOOKUP(Ventas[[#This Row],[Codigo de Producto]],Productos[#All],4,FALSE),"")</f>
        <v>Plasterbond Klebe</v>
      </c>
      <c r="G3850">
        <v>1</v>
      </c>
      <c r="H3850">
        <v>100</v>
      </c>
      <c r="I3850">
        <f>IF(Ventas[[#This Row],[Cantidad]]="","",+Ventas[[#This Row],[Cantidad]]*Ventas[[#This Row],[Precio]])</f>
        <v>100</v>
      </c>
      <c r="J3850" t="str">
        <f>IFERROR(+VLOOKUP(Ventas[[#This Row],[Codigo de Producto]],Productos[#All],2,FALSE),"")</f>
        <v>Aginsa</v>
      </c>
      <c r="K3850">
        <f>IFERROR(+VLOOKUP(Ventas[[#This Row],[Codigo de Producto]],Productos[#All],9,FALSE),"")</f>
        <v>80</v>
      </c>
      <c r="M3850">
        <f t="shared" ref="M3850:M3873" si="1260">+IF(K3850=0,(""),(K3850*G3850))</f>
        <v>80</v>
      </c>
      <c r="N3850">
        <f t="shared" ref="N3850:N3873" si="1261">+IF(K3850=0,(""),(I3850-M3850))</f>
        <v>20</v>
      </c>
    </row>
    <row r="3851" spans="1:14" x14ac:dyDescent="0.25">
      <c r="A3851">
        <v>88</v>
      </c>
      <c r="B3851" s="1">
        <v>44145</v>
      </c>
      <c r="C3851" t="str">
        <f>IF(Ventas[[#This Row],[Fecha ]]="","",+TEXT(B3851,"mmmm"))</f>
        <v>noviembre</v>
      </c>
      <c r="D3851" t="str">
        <f>IFERROR(+VLOOKUP(Ventas[[#This Row],[Codigo de Producto]],Productos[#All],3,FALSE),"")</f>
        <v>Cerámica</v>
      </c>
      <c r="E3851" t="s">
        <v>646</v>
      </c>
      <c r="F3851" t="str">
        <f>IFERROR(+VLOOKUP(Ventas[[#This Row],[Codigo de Producto]],Productos[#All],4,FALSE),"")</f>
        <v>Zacatepec Marrón</v>
      </c>
      <c r="G3851">
        <v>2.5</v>
      </c>
      <c r="H3851">
        <v>250</v>
      </c>
      <c r="I3851">
        <f>IF(Ventas[[#This Row],[Cantidad]]="","",+Ventas[[#This Row],[Cantidad]]*Ventas[[#This Row],[Precio]])</f>
        <v>625</v>
      </c>
      <c r="J3851" t="str">
        <f>IFERROR(+VLOOKUP(Ventas[[#This Row],[Codigo de Producto]],Productos[#All],2,FALSE),"")</f>
        <v>Dispiasa</v>
      </c>
      <c r="K3851">
        <f>IFERROR(+VLOOKUP(Ventas[[#This Row],[Codigo de Producto]],Productos[#All],9,FALSE),"")</f>
        <v>219</v>
      </c>
      <c r="M3851">
        <f t="shared" si="1260"/>
        <v>547.5</v>
      </c>
      <c r="N3851">
        <f t="shared" si="1261"/>
        <v>77.5</v>
      </c>
    </row>
    <row r="3852" spans="1:14" x14ac:dyDescent="0.25">
      <c r="A3852">
        <v>89</v>
      </c>
      <c r="B3852" s="1">
        <v>44145</v>
      </c>
      <c r="C3852" t="str">
        <f>IF(Ventas[[#This Row],[Fecha ]]="","",+TEXT(B3852,"mmmm"))</f>
        <v>noviembre</v>
      </c>
      <c r="D3852" t="str">
        <f>IFERROR(+VLOOKUP(Ventas[[#This Row],[Codigo de Producto]],Productos[#All],3,FALSE),"")</f>
        <v>Cerámica</v>
      </c>
      <c r="E3852" t="s">
        <v>663</v>
      </c>
      <c r="F3852" t="str">
        <f>IFERROR(+VLOOKUP(Ventas[[#This Row],[Codigo de Producto]],Productos[#All],4,FALSE),"")</f>
        <v>Mosaico Verde</v>
      </c>
      <c r="G3852">
        <v>3.54</v>
      </c>
      <c r="H3852">
        <v>300</v>
      </c>
      <c r="I3852">
        <f>IF(Ventas[[#This Row],[Cantidad]]="","",+Ventas[[#This Row],[Cantidad]]*Ventas[[#This Row],[Precio]])</f>
        <v>1062</v>
      </c>
      <c r="J3852" t="str">
        <f>IFERROR(+VLOOKUP(Ventas[[#This Row],[Codigo de Producto]],Productos[#All],2,FALSE),"")</f>
        <v>Dispiasa</v>
      </c>
      <c r="K3852">
        <f>IFERROR(+VLOOKUP(Ventas[[#This Row],[Codigo de Producto]],Productos[#All],9,FALSE),"")</f>
        <v>268</v>
      </c>
      <c r="M3852">
        <f t="shared" si="1260"/>
        <v>948.72</v>
      </c>
      <c r="N3852">
        <f t="shared" si="1261"/>
        <v>113.27999999999997</v>
      </c>
    </row>
    <row r="3853" spans="1:14" x14ac:dyDescent="0.25">
      <c r="A3853">
        <v>90</v>
      </c>
      <c r="B3853" s="1">
        <v>44145</v>
      </c>
      <c r="C3853" t="str">
        <f>IF(Ventas[[#This Row],[Fecha ]]="","",+TEXT(B3853,"mmmm"))</f>
        <v>noviembre</v>
      </c>
      <c r="D3853" t="str">
        <f>IFERROR(+VLOOKUP(Ventas[[#This Row],[Codigo de Producto]],Productos[#All],3,FALSE),"")</f>
        <v>Azulejos</v>
      </c>
      <c r="E3853" t="s">
        <v>669</v>
      </c>
      <c r="F3853" t="str">
        <f>IFERROR(+VLOOKUP(Ventas[[#This Row],[Codigo de Producto]],Productos[#All],4,FALSE),"")</f>
        <v>Baleares Azul Liso</v>
      </c>
      <c r="G3853">
        <v>5</v>
      </c>
      <c r="H3853">
        <v>300</v>
      </c>
      <c r="I3853">
        <f>IF(Ventas[[#This Row],[Cantidad]]="","",+Ventas[[#This Row],[Cantidad]]*Ventas[[#This Row],[Precio]])</f>
        <v>1500</v>
      </c>
      <c r="J3853" t="str">
        <f>IFERROR(+VLOOKUP(Ventas[[#This Row],[Codigo de Producto]],Productos[#All],2,FALSE),"")</f>
        <v>Dispiasa</v>
      </c>
      <c r="K3853">
        <f>IFERROR(+VLOOKUP(Ventas[[#This Row],[Codigo de Producto]],Productos[#All],9,FALSE),"")</f>
        <v>268</v>
      </c>
      <c r="M3853">
        <f t="shared" si="1260"/>
        <v>1340</v>
      </c>
      <c r="N3853">
        <f t="shared" si="1261"/>
        <v>160</v>
      </c>
    </row>
    <row r="3854" spans="1:14" x14ac:dyDescent="0.25">
      <c r="A3854">
        <v>91</v>
      </c>
      <c r="B3854" s="1">
        <v>44145</v>
      </c>
      <c r="C3854" t="str">
        <f>IF(Ventas[[#This Row],[Fecha ]]="","",+TEXT(B3854,"mmmm"))</f>
        <v>noviembre</v>
      </c>
      <c r="D3854" t="str">
        <f>IFERROR(+VLOOKUP(Ventas[[#This Row],[Codigo de Producto]],Productos[#All],3,FALSE),"")</f>
        <v>Cerámica</v>
      </c>
      <c r="E3854" t="s">
        <v>698</v>
      </c>
      <c r="F3854" t="str">
        <f>IFERROR(+VLOOKUP(Ventas[[#This Row],[Codigo de Producto]],Productos[#All],4,FALSE),"")</f>
        <v>Casilina</v>
      </c>
      <c r="G3854">
        <v>2.15</v>
      </c>
      <c r="H3854">
        <v>250</v>
      </c>
      <c r="I3854">
        <f>IF(Ventas[[#This Row],[Cantidad]]="","",+Ventas[[#This Row],[Cantidad]]*Ventas[[#This Row],[Precio]])</f>
        <v>537.5</v>
      </c>
      <c r="J3854" t="str">
        <f>IFERROR(+VLOOKUP(Ventas[[#This Row],[Codigo de Producto]],Productos[#All],2,FALSE),"")</f>
        <v>Comasa</v>
      </c>
      <c r="K3854">
        <f>IFERROR(+VLOOKUP(Ventas[[#This Row],[Codigo de Producto]],Productos[#All],9,FALSE),"")</f>
        <v>220</v>
      </c>
      <c r="M3854">
        <f t="shared" si="1260"/>
        <v>473</v>
      </c>
      <c r="N3854">
        <f t="shared" si="1261"/>
        <v>64.5</v>
      </c>
    </row>
    <row r="3855" spans="1:14" x14ac:dyDescent="0.25">
      <c r="A3855">
        <v>92</v>
      </c>
      <c r="B3855" s="1">
        <v>44145</v>
      </c>
      <c r="C3855" t="str">
        <f>IF(Ventas[[#This Row],[Fecha ]]="","",+TEXT(B3855,"mmmm"))</f>
        <v>noviembre</v>
      </c>
      <c r="D3855" t="str">
        <f>IFERROR(+VLOOKUP(Ventas[[#This Row],[Codigo de Producto]],Productos[#All],3,FALSE),"")</f>
        <v>Cerámica</v>
      </c>
      <c r="E3855" t="s">
        <v>660</v>
      </c>
      <c r="F3855" t="str">
        <f>IFERROR(+VLOOKUP(Ventas[[#This Row],[Codigo de Producto]],Productos[#All],4,FALSE),"")</f>
        <v>Mosaico Azul</v>
      </c>
      <c r="G3855">
        <f>4/9</f>
        <v>0.44444444444444442</v>
      </c>
      <c r="H3855">
        <v>300</v>
      </c>
      <c r="I3855">
        <f>IF(Ventas[[#This Row],[Cantidad]]="","",+Ventas[[#This Row],[Cantidad]]*Ventas[[#This Row],[Precio]])</f>
        <v>133.33333333333331</v>
      </c>
      <c r="J3855" t="str">
        <f>IFERROR(+VLOOKUP(Ventas[[#This Row],[Codigo de Producto]],Productos[#All],2,FALSE),"")</f>
        <v>Dispiasa</v>
      </c>
      <c r="K3855">
        <f>IFERROR(+VLOOKUP(Ventas[[#This Row],[Codigo de Producto]],Productos[#All],9,FALSE),"")</f>
        <v>268</v>
      </c>
      <c r="M3855">
        <f t="shared" si="1260"/>
        <v>119.1111111111111</v>
      </c>
      <c r="N3855">
        <f t="shared" si="1261"/>
        <v>14.222222222222214</v>
      </c>
    </row>
    <row r="3856" spans="1:14" x14ac:dyDescent="0.25">
      <c r="A3856">
        <v>93</v>
      </c>
      <c r="B3856" s="1">
        <v>44145</v>
      </c>
      <c r="C3856" t="str">
        <f>IF(Ventas[[#This Row],[Fecha ]]="","",+TEXT(B3856,"mmmm"))</f>
        <v>noviembre</v>
      </c>
      <c r="D3856" t="str">
        <f>IFERROR(+VLOOKUP(Ventas[[#This Row],[Codigo de Producto]],Productos[#All],3,FALSE),"")</f>
        <v>Cerámica</v>
      </c>
      <c r="E3856" t="s">
        <v>698</v>
      </c>
      <c r="F3856" t="str">
        <f>IFERROR(+VLOOKUP(Ventas[[#This Row],[Codigo de Producto]],Productos[#All],4,FALSE),"")</f>
        <v>Casilina</v>
      </c>
      <c r="G3856">
        <f>0.5*2.15</f>
        <v>1.075</v>
      </c>
      <c r="H3856">
        <v>250</v>
      </c>
      <c r="I3856">
        <f>IF(Ventas[[#This Row],[Cantidad]]="","",+Ventas[[#This Row],[Cantidad]]*Ventas[[#This Row],[Precio]])</f>
        <v>268.75</v>
      </c>
      <c r="J3856" t="str">
        <f>IFERROR(+VLOOKUP(Ventas[[#This Row],[Codigo de Producto]],Productos[#All],2,FALSE),"")</f>
        <v>Comasa</v>
      </c>
      <c r="K3856">
        <f>IFERROR(+VLOOKUP(Ventas[[#This Row],[Codigo de Producto]],Productos[#All],9,FALSE),"")</f>
        <v>220</v>
      </c>
      <c r="M3856">
        <f t="shared" si="1260"/>
        <v>236.5</v>
      </c>
      <c r="N3856">
        <f t="shared" si="1261"/>
        <v>32.25</v>
      </c>
    </row>
    <row r="3857" spans="1:14" x14ac:dyDescent="0.25">
      <c r="A3857">
        <v>94</v>
      </c>
      <c r="B3857" s="1">
        <v>44145</v>
      </c>
      <c r="C3857" t="str">
        <f>IF(Ventas[[#This Row],[Fecha ]]="","",+TEXT(B3857,"mmmm"))</f>
        <v>noviembre</v>
      </c>
      <c r="D3857" t="str">
        <f>IFERROR(+VLOOKUP(Ventas[[#This Row],[Codigo de Producto]],Productos[#All],3,FALSE),"")</f>
        <v>Cerámica</v>
      </c>
      <c r="E3857" t="s">
        <v>662</v>
      </c>
      <c r="F3857" t="str">
        <f>IFERROR(+VLOOKUP(Ventas[[#This Row],[Codigo de Producto]],Productos[#All],4,FALSE),"")</f>
        <v>Alaska Blanco</v>
      </c>
      <c r="G3857">
        <v>2</v>
      </c>
      <c r="H3857">
        <v>300</v>
      </c>
      <c r="I3857">
        <f>IF(Ventas[[#This Row],[Cantidad]]="","",+Ventas[[#This Row],[Cantidad]]*Ventas[[#This Row],[Precio]])</f>
        <v>600</v>
      </c>
      <c r="J3857" t="str">
        <f>IFERROR(+VLOOKUP(Ventas[[#This Row],[Codigo de Producto]],Productos[#All],2,FALSE),"")</f>
        <v>Dispiasa</v>
      </c>
      <c r="K3857">
        <f>IFERROR(+VLOOKUP(Ventas[[#This Row],[Codigo de Producto]],Productos[#All],9,FALSE),"")</f>
        <v>253</v>
      </c>
      <c r="M3857">
        <f t="shared" si="1260"/>
        <v>506</v>
      </c>
      <c r="N3857">
        <f t="shared" si="1261"/>
        <v>94</v>
      </c>
    </row>
    <row r="3858" spans="1:14" x14ac:dyDescent="0.25">
      <c r="A3858">
        <v>95</v>
      </c>
      <c r="B3858" s="1">
        <v>44145</v>
      </c>
      <c r="C3858" t="str">
        <f>IF(Ventas[[#This Row],[Fecha ]]="","",+TEXT(B3858,"mmmm"))</f>
        <v>noviembre</v>
      </c>
      <c r="D3858" t="str">
        <f>IFERROR(+VLOOKUP(Ventas[[#This Row],[Codigo de Producto]],Productos[#All],3,FALSE),"")</f>
        <v>Lavamano</v>
      </c>
      <c r="E3858" t="s">
        <v>619</v>
      </c>
      <c r="F3858" t="str">
        <f>IFERROR(+VLOOKUP(Ventas[[#This Row],[Codigo de Producto]],Productos[#All],4,FALSE),"")</f>
        <v>Lavamano Aqua Blanco</v>
      </c>
      <c r="G3858">
        <v>1</v>
      </c>
      <c r="H3858">
        <v>900</v>
      </c>
      <c r="I3858">
        <f>IF(Ventas[[#This Row],[Cantidad]]="","",+Ventas[[#This Row],[Cantidad]]*Ventas[[#This Row],[Precio]])</f>
        <v>900</v>
      </c>
      <c r="J3858" t="str">
        <f>IFERROR(+VLOOKUP(Ventas[[#This Row],[Codigo de Producto]],Productos[#All],2,FALSE),"")</f>
        <v>Dispiasa</v>
      </c>
      <c r="K3858">
        <f>IFERROR(+VLOOKUP(Ventas[[#This Row],[Codigo de Producto]],Productos[#All],9,FALSE),"")</f>
        <v>480</v>
      </c>
      <c r="M3858">
        <f t="shared" si="1260"/>
        <v>480</v>
      </c>
      <c r="N3858">
        <f t="shared" si="1261"/>
        <v>420</v>
      </c>
    </row>
    <row r="3859" spans="1:14" x14ac:dyDescent="0.25">
      <c r="A3859">
        <v>96</v>
      </c>
      <c r="B3859" s="1">
        <v>44145</v>
      </c>
      <c r="C3859" t="str">
        <f>IF(Ventas[[#This Row],[Fecha ]]="","",+TEXT(B3859,"mmmm"))</f>
        <v>noviembre</v>
      </c>
      <c r="D3859" t="str">
        <f>IFERROR(+VLOOKUP(Ventas[[#This Row],[Codigo de Producto]],Productos[#All],3,FALSE),"")</f>
        <v>Lavamano</v>
      </c>
      <c r="E3859" t="s">
        <v>675</v>
      </c>
      <c r="F3859" t="str">
        <f>IFERROR(+VLOOKUP(Ventas[[#This Row],[Codigo de Producto]],Productos[#All],4,FALSE),"")</f>
        <v>Pedestal Aqua Blanco</v>
      </c>
      <c r="G3859">
        <v>1</v>
      </c>
      <c r="H3859">
        <v>900</v>
      </c>
      <c r="I3859">
        <f>IF(Ventas[[#This Row],[Cantidad]]="","",+Ventas[[#This Row],[Cantidad]]*Ventas[[#This Row],[Precio]])</f>
        <v>900</v>
      </c>
      <c r="J3859" t="str">
        <f>IFERROR(+VLOOKUP(Ventas[[#This Row],[Codigo de Producto]],Productos[#All],2,FALSE),"")</f>
        <v>Dispiasa</v>
      </c>
      <c r="K3859">
        <f>IFERROR(+VLOOKUP(Ventas[[#This Row],[Codigo de Producto]],Productos[#All],9,FALSE),"")</f>
        <v>395</v>
      </c>
      <c r="M3859">
        <f t="shared" si="1260"/>
        <v>395</v>
      </c>
      <c r="N3859">
        <f t="shared" si="1261"/>
        <v>505</v>
      </c>
    </row>
    <row r="3860" spans="1:14" x14ac:dyDescent="0.25">
      <c r="A3860">
        <v>97</v>
      </c>
      <c r="B3860" s="1">
        <v>44146</v>
      </c>
      <c r="C3860" t="str">
        <f>IF(Ventas[[#This Row],[Fecha ]]="","",+TEXT(B3860,"mmmm"))</f>
        <v>noviembre</v>
      </c>
      <c r="D3860" t="str">
        <f>IFERROR(+VLOOKUP(Ventas[[#This Row],[Codigo de Producto]],Productos[#All],3,FALSE),"")</f>
        <v>Bond</v>
      </c>
      <c r="E3860" t="s">
        <v>704</v>
      </c>
      <c r="F3860" t="str">
        <f>IFERROR(+VLOOKUP(Ventas[[#This Row],[Codigo de Producto]],Productos[#All],4,FALSE),"")</f>
        <v>Drytec Bond Plus</v>
      </c>
      <c r="G3860">
        <v>4</v>
      </c>
      <c r="H3860">
        <v>155</v>
      </c>
      <c r="I3860">
        <f>IF(Ventas[[#This Row],[Cantidad]]="","",+Ventas[[#This Row],[Cantidad]]*Ventas[[#This Row],[Precio]])</f>
        <v>620</v>
      </c>
      <c r="J3860" t="str">
        <f>IFERROR(+VLOOKUP(Ventas[[#This Row],[Codigo de Producto]],Productos[#All],2,FALSE),"")</f>
        <v>Comasa</v>
      </c>
      <c r="K3860">
        <f>IFERROR(+VLOOKUP(Ventas[[#This Row],[Codigo de Producto]],Productos[#All],9,FALSE),"")</f>
        <v>127</v>
      </c>
      <c r="M3860">
        <f t="shared" si="1260"/>
        <v>508</v>
      </c>
      <c r="N3860">
        <f t="shared" si="1261"/>
        <v>112</v>
      </c>
    </row>
    <row r="3861" spans="1:14" x14ac:dyDescent="0.25">
      <c r="A3861">
        <v>98</v>
      </c>
      <c r="B3861" s="1">
        <v>44146</v>
      </c>
      <c r="C3861" s="57" t="str">
        <f>IF(Ventas[[#This Row],[Fecha ]]="","",+TEXT(B3861,"mmmm"))</f>
        <v>noviembre</v>
      </c>
      <c r="D3861" s="57" t="str">
        <f>IFERROR(+VLOOKUP(Ventas[[#This Row],[Codigo de Producto]],Productos[#All],3,FALSE),"")</f>
        <v>Separadores</v>
      </c>
      <c r="E3861" t="s">
        <v>721</v>
      </c>
      <c r="F3861" s="57" t="str">
        <f>IFERROR(+VLOOKUP(Ventas[[#This Row],[Codigo de Producto]],Productos[#All],4,FALSE),"")</f>
        <v>Separadores de 4 mm</v>
      </c>
      <c r="G3861">
        <v>1</v>
      </c>
      <c r="H3861">
        <v>35</v>
      </c>
      <c r="I3861" s="57">
        <f>IF(Ventas[[#This Row],[Cantidad]]="","",+Ventas[[#This Row],[Cantidad]]*Ventas[[#This Row],[Precio]])</f>
        <v>35</v>
      </c>
      <c r="J3861" s="57" t="str">
        <f>IFERROR(+VLOOKUP(Ventas[[#This Row],[Codigo de Producto]],Productos[#All],2,FALSE),"")</f>
        <v>Silco</v>
      </c>
      <c r="K3861">
        <f>IFERROR(+VLOOKUP(Ventas[[#This Row],[Codigo de Producto]],Productos[#All],9,FALSE),"")</f>
        <v>22</v>
      </c>
      <c r="M3861">
        <f t="shared" si="1260"/>
        <v>22</v>
      </c>
      <c r="N3861">
        <f t="shared" si="1261"/>
        <v>13</v>
      </c>
    </row>
    <row r="3862" spans="1:14" x14ac:dyDescent="0.25">
      <c r="A3862">
        <v>99</v>
      </c>
      <c r="B3862" s="1">
        <v>44146</v>
      </c>
      <c r="C3862" s="57" t="str">
        <f>IF(Ventas[[#This Row],[Fecha ]]="","",+TEXT(B3862,"mmmm"))</f>
        <v>noviembre</v>
      </c>
      <c r="D3862" s="57" t="str">
        <f>IFERROR(+VLOOKUP(Ventas[[#This Row],[Codigo de Producto]],Productos[#All],3,FALSE),"")</f>
        <v>Porcelana</v>
      </c>
      <c r="E3862" t="s">
        <v>708</v>
      </c>
      <c r="F3862" s="57" t="str">
        <f>IFERROR(+VLOOKUP(Ventas[[#This Row],[Codigo de Producto]],Productos[#All],4,FALSE),"")</f>
        <v xml:space="preserve">Porcelana Maya </v>
      </c>
      <c r="G3862">
        <v>1</v>
      </c>
      <c r="H3862">
        <v>60</v>
      </c>
      <c r="I3862" s="57">
        <f>IF(Ventas[[#This Row],[Cantidad]]="","",+Ventas[[#This Row],[Cantidad]]*Ventas[[#This Row],[Precio]])</f>
        <v>60</v>
      </c>
      <c r="J3862" s="57" t="str">
        <f>IFERROR(+VLOOKUP(Ventas[[#This Row],[Codigo de Producto]],Productos[#All],2,FALSE),"")</f>
        <v>Martinez</v>
      </c>
      <c r="K3862">
        <f>IFERROR(+VLOOKUP(Ventas[[#This Row],[Codigo de Producto]],Productos[#All],9,FALSE),"")</f>
        <v>33.333333333333336</v>
      </c>
      <c r="M3862">
        <f t="shared" si="1260"/>
        <v>33.333333333333336</v>
      </c>
      <c r="N3862">
        <f t="shared" si="1261"/>
        <v>26.666666666666664</v>
      </c>
    </row>
    <row r="3863" spans="1:14" x14ac:dyDescent="0.25">
      <c r="A3863">
        <v>100</v>
      </c>
      <c r="B3863" s="1">
        <v>44146</v>
      </c>
      <c r="C3863" s="57" t="str">
        <f>IF(Ventas[[#This Row],[Fecha ]]="","",+TEXT(B3863,"mmmm"))</f>
        <v>noviembre</v>
      </c>
      <c r="D3863" s="57" t="str">
        <f>IFERROR(+VLOOKUP(Ventas[[#This Row],[Codigo de Producto]],Productos[#All],3,FALSE),"")</f>
        <v>Cerámica</v>
      </c>
      <c r="E3863" t="s">
        <v>645</v>
      </c>
      <c r="F3863" s="57" t="str">
        <f>IFERROR(+VLOOKUP(Ventas[[#This Row],[Codigo de Producto]],Productos[#All],4,FALSE),"")</f>
        <v>822 Roble</v>
      </c>
      <c r="G3863">
        <v>59.57</v>
      </c>
      <c r="H3863">
        <v>235</v>
      </c>
      <c r="I3863" s="57">
        <f>IF(Ventas[[#This Row],[Cantidad]]="","",+Ventas[[#This Row],[Cantidad]]*Ventas[[#This Row],[Precio]])</f>
        <v>13998.95</v>
      </c>
      <c r="J3863" s="57" t="str">
        <f>IFERROR(+VLOOKUP(Ventas[[#This Row],[Codigo de Producto]],Productos[#All],2,FALSE),"")</f>
        <v>Dispiasa</v>
      </c>
      <c r="K3863">
        <f>IFERROR(+VLOOKUP(Ventas[[#This Row],[Codigo de Producto]],Productos[#All],9,FALSE),"")</f>
        <v>207</v>
      </c>
      <c r="M3863">
        <f t="shared" si="1260"/>
        <v>12330.99</v>
      </c>
      <c r="N3863">
        <f t="shared" si="1261"/>
        <v>1667.9600000000009</v>
      </c>
    </row>
    <row r="3864" spans="1:14" x14ac:dyDescent="0.25">
      <c r="A3864">
        <v>101</v>
      </c>
      <c r="B3864" s="1">
        <v>44146</v>
      </c>
      <c r="C3864" s="57" t="str">
        <f>IF(Ventas[[#This Row],[Fecha ]]="","",+TEXT(B3864,"mmmm"))</f>
        <v>noviembre</v>
      </c>
      <c r="D3864" s="57" t="str">
        <f>IFERROR(+VLOOKUP(Ventas[[#This Row],[Codigo de Producto]],Productos[#All],3,FALSE),"")</f>
        <v>Cerámica</v>
      </c>
      <c r="E3864" t="s">
        <v>662</v>
      </c>
      <c r="F3864" s="57" t="str">
        <f>IFERROR(+VLOOKUP(Ventas[[#This Row],[Codigo de Producto]],Productos[#All],4,FALSE),"")</f>
        <v>Alaska Blanco</v>
      </c>
      <c r="G3864">
        <v>2</v>
      </c>
      <c r="H3864">
        <v>300</v>
      </c>
      <c r="I3864" s="57">
        <f>IF(Ventas[[#This Row],[Cantidad]]="","",+Ventas[[#This Row],[Cantidad]]*Ventas[[#This Row],[Precio]])</f>
        <v>600</v>
      </c>
      <c r="J3864" s="57" t="str">
        <f>IFERROR(+VLOOKUP(Ventas[[#This Row],[Codigo de Producto]],Productos[#All],2,FALSE),"")</f>
        <v>Dispiasa</v>
      </c>
      <c r="K3864">
        <f>IFERROR(+VLOOKUP(Ventas[[#This Row],[Codigo de Producto]],Productos[#All],9,FALSE),"")</f>
        <v>253</v>
      </c>
      <c r="M3864">
        <f t="shared" si="1260"/>
        <v>506</v>
      </c>
      <c r="N3864">
        <f t="shared" si="1261"/>
        <v>94</v>
      </c>
    </row>
    <row r="3865" spans="1:14" x14ac:dyDescent="0.25">
      <c r="A3865">
        <v>102</v>
      </c>
      <c r="B3865" s="1">
        <v>44146</v>
      </c>
      <c r="C3865" s="57" t="str">
        <f>IF(Ventas[[#This Row],[Fecha ]]="","",+TEXT(B3865,"mmmm"))</f>
        <v>noviembre</v>
      </c>
      <c r="D3865" s="57" t="str">
        <f>IFERROR(+VLOOKUP(Ventas[[#This Row],[Codigo de Producto]],Productos[#All],3,FALSE),"")</f>
        <v>Bond</v>
      </c>
      <c r="E3865" t="s">
        <v>705</v>
      </c>
      <c r="F3865" s="57" t="str">
        <f>IFERROR(+VLOOKUP(Ventas[[#This Row],[Codigo de Producto]],Productos[#All],4,FALSE),"")</f>
        <v>Bond Porcelanato Drytec</v>
      </c>
      <c r="G3865">
        <v>15</v>
      </c>
      <c r="H3865">
        <v>250</v>
      </c>
      <c r="I3865" s="57">
        <f>IF(Ventas[[#This Row],[Cantidad]]="","",+Ventas[[#This Row],[Cantidad]]*Ventas[[#This Row],[Precio]])</f>
        <v>3750</v>
      </c>
      <c r="J3865" s="57" t="str">
        <f>IFERROR(+VLOOKUP(Ventas[[#This Row],[Codigo de Producto]],Productos[#All],2,FALSE),"")</f>
        <v>Comasa</v>
      </c>
      <c r="K3865">
        <f>IFERROR(+VLOOKUP(Ventas[[#This Row],[Codigo de Producto]],Productos[#All],9,FALSE),"")</f>
        <v>190</v>
      </c>
      <c r="M3865">
        <f t="shared" si="1260"/>
        <v>2850</v>
      </c>
      <c r="N3865">
        <f t="shared" si="1261"/>
        <v>900</v>
      </c>
    </row>
    <row r="3866" spans="1:14" x14ac:dyDescent="0.25">
      <c r="A3866">
        <v>103</v>
      </c>
      <c r="B3866" s="1">
        <v>44146</v>
      </c>
      <c r="C3866" s="57" t="str">
        <f>IF(Ventas[[#This Row],[Fecha ]]="","",+TEXT(B3866,"mmmm"))</f>
        <v>noviembre</v>
      </c>
      <c r="D3866" s="57" t="str">
        <f>IFERROR(+VLOOKUP(Ventas[[#This Row],[Codigo de Producto]],Productos[#All],3,FALSE),"")</f>
        <v>Lavamano</v>
      </c>
      <c r="E3866" t="s">
        <v>714</v>
      </c>
      <c r="F3866" s="57" t="str">
        <f>IFERROR(+VLOOKUP(Ventas[[#This Row],[Codigo de Producto]],Productos[#All],4,FALSE),"")</f>
        <v>Kit de Inodoro Cato</v>
      </c>
      <c r="G3866">
        <v>1</v>
      </c>
      <c r="H3866">
        <v>500</v>
      </c>
      <c r="I3866" s="57">
        <f>IF(Ventas[[#This Row],[Cantidad]]="","",+Ventas[[#This Row],[Cantidad]]*Ventas[[#This Row],[Precio]])</f>
        <v>500</v>
      </c>
      <c r="J3866" s="57" t="str">
        <f>IFERROR(+VLOOKUP(Ventas[[#This Row],[Codigo de Producto]],Productos[#All],2,FALSE),"")</f>
        <v>Comasa</v>
      </c>
      <c r="K3866">
        <f>IFERROR(+VLOOKUP(Ventas[[#This Row],[Codigo de Producto]],Productos[#All],9,FALSE),"")</f>
        <v>228</v>
      </c>
      <c r="M3866">
        <f t="shared" si="1260"/>
        <v>228</v>
      </c>
      <c r="N3866">
        <f t="shared" si="1261"/>
        <v>272</v>
      </c>
    </row>
    <row r="3867" spans="1:14" x14ac:dyDescent="0.25">
      <c r="A3867">
        <v>104</v>
      </c>
      <c r="B3867" s="1">
        <v>44146</v>
      </c>
      <c r="C3867" s="57" t="str">
        <f>IF(Ventas[[#This Row],[Fecha ]]="","",+TEXT(B3867,"mmmm"))</f>
        <v>noviembre</v>
      </c>
      <c r="D3867" s="57" t="str">
        <f>IFERROR(+VLOOKUP(Ventas[[#This Row],[Codigo de Producto]],Productos[#All],3,FALSE),"")</f>
        <v>Porcelana</v>
      </c>
      <c r="E3867" t="s">
        <v>708</v>
      </c>
      <c r="F3867" s="57" t="str">
        <f>IFERROR(+VLOOKUP(Ventas[[#This Row],[Codigo de Producto]],Productos[#All],4,FALSE),"")</f>
        <v xml:space="preserve">Porcelana Maya </v>
      </c>
      <c r="G3867">
        <v>1</v>
      </c>
      <c r="H3867">
        <v>60</v>
      </c>
      <c r="I3867" s="57">
        <f>IF(Ventas[[#This Row],[Cantidad]]="","",+Ventas[[#This Row],[Cantidad]]*Ventas[[#This Row],[Precio]])</f>
        <v>60</v>
      </c>
      <c r="J3867" s="57" t="str">
        <f>IFERROR(+VLOOKUP(Ventas[[#This Row],[Codigo de Producto]],Productos[#All],2,FALSE),"")</f>
        <v>Martinez</v>
      </c>
      <c r="K3867">
        <f>IFERROR(+VLOOKUP(Ventas[[#This Row],[Codigo de Producto]],Productos[#All],9,FALSE),"")</f>
        <v>33.333333333333336</v>
      </c>
      <c r="M3867">
        <f t="shared" si="1260"/>
        <v>33.333333333333336</v>
      </c>
      <c r="N3867">
        <f t="shared" si="1261"/>
        <v>26.666666666666664</v>
      </c>
    </row>
    <row r="3868" spans="1:14" x14ac:dyDescent="0.25">
      <c r="A3868">
        <v>105</v>
      </c>
      <c r="B3868" s="1">
        <v>44146</v>
      </c>
      <c r="C3868" s="57" t="str">
        <f>IF(Ventas[[#This Row],[Fecha ]]="","",+TEXT(B3868,"mmmm"))</f>
        <v>noviembre</v>
      </c>
      <c r="D3868" s="57" t="str">
        <f>IFERROR(+VLOOKUP(Ventas[[#This Row],[Codigo de Producto]],Productos[#All],3,FALSE),"")</f>
        <v>Cerámica</v>
      </c>
      <c r="E3868" t="s">
        <v>646</v>
      </c>
      <c r="F3868" s="57" t="str">
        <f>IFERROR(+VLOOKUP(Ventas[[#This Row],[Codigo de Producto]],Productos[#All],4,FALSE),"")</f>
        <v>Zacatepec Marrón</v>
      </c>
      <c r="G3868">
        <v>2</v>
      </c>
      <c r="H3868">
        <v>250</v>
      </c>
      <c r="I3868" s="57">
        <f>IF(Ventas[[#This Row],[Cantidad]]="","",+Ventas[[#This Row],[Cantidad]]*Ventas[[#This Row],[Precio]])</f>
        <v>500</v>
      </c>
      <c r="J3868" s="57" t="str">
        <f>IFERROR(+VLOOKUP(Ventas[[#This Row],[Codigo de Producto]],Productos[#All],2,FALSE),"")</f>
        <v>Dispiasa</v>
      </c>
      <c r="K3868">
        <f>IFERROR(+VLOOKUP(Ventas[[#This Row],[Codigo de Producto]],Productos[#All],9,FALSE),"")</f>
        <v>219</v>
      </c>
      <c r="M3868">
        <f t="shared" si="1260"/>
        <v>438</v>
      </c>
      <c r="N3868">
        <f t="shared" si="1261"/>
        <v>62</v>
      </c>
    </row>
    <row r="3869" spans="1:14" x14ac:dyDescent="0.25">
      <c r="A3869">
        <v>106</v>
      </c>
      <c r="B3869" s="1">
        <v>44146</v>
      </c>
      <c r="C3869" s="57" t="str">
        <f>IF(Ventas[[#This Row],[Fecha ]]="","",+TEXT(B3869,"mmmm"))</f>
        <v>noviembre</v>
      </c>
      <c r="D3869" s="57" t="str">
        <f>IFERROR(+VLOOKUP(Ventas[[#This Row],[Codigo de Producto]],Productos[#All],3,FALSE),"")</f>
        <v>Separadores</v>
      </c>
      <c r="E3869" t="s">
        <v>719</v>
      </c>
      <c r="F3869" s="57" t="str">
        <f>IFERROR(+VLOOKUP(Ventas[[#This Row],[Codigo de Producto]],Productos[#All],4,FALSE),"")</f>
        <v>Separadores de 2 mm</v>
      </c>
      <c r="G3869">
        <v>1</v>
      </c>
      <c r="H3869">
        <v>35</v>
      </c>
      <c r="I3869" s="57">
        <f>IF(Ventas[[#This Row],[Cantidad]]="","",+Ventas[[#This Row],[Cantidad]]*Ventas[[#This Row],[Precio]])</f>
        <v>35</v>
      </c>
      <c r="J3869" s="57" t="str">
        <f>IFERROR(+VLOOKUP(Ventas[[#This Row],[Codigo de Producto]],Productos[#All],2,FALSE),"")</f>
        <v>Silco</v>
      </c>
      <c r="K3869">
        <f>IFERROR(+VLOOKUP(Ventas[[#This Row],[Codigo de Producto]],Productos[#All],9,FALSE),"")</f>
        <v>20</v>
      </c>
      <c r="M3869">
        <f t="shared" si="1260"/>
        <v>20</v>
      </c>
      <c r="N3869">
        <f t="shared" si="1261"/>
        <v>15</v>
      </c>
    </row>
    <row r="3870" spans="1:14" x14ac:dyDescent="0.25">
      <c r="A3870">
        <v>107</v>
      </c>
      <c r="B3870" s="1">
        <v>44146</v>
      </c>
      <c r="C3870" s="57" t="str">
        <f>IF(Ventas[[#This Row],[Fecha ]]="","",+TEXT(B3870,"mmmm"))</f>
        <v>noviembre</v>
      </c>
      <c r="D3870" s="57" t="str">
        <f>IFERROR(+VLOOKUP(Ventas[[#This Row],[Codigo de Producto]],Productos[#All],3,FALSE),"")</f>
        <v>Inodoro</v>
      </c>
      <c r="E3870" t="s">
        <v>618</v>
      </c>
      <c r="F3870" s="57" t="str">
        <f>IFERROR(+VLOOKUP(Ventas[[#This Row],[Codigo de Producto]],Productos[#All],4,FALSE),"")</f>
        <v>Inodoro Aqua Blanco</v>
      </c>
      <c r="G3870">
        <v>1</v>
      </c>
      <c r="H3870">
        <v>1650</v>
      </c>
      <c r="I3870" s="57">
        <f>IF(Ventas[[#This Row],[Cantidad]]="","",+Ventas[[#This Row],[Cantidad]]*Ventas[[#This Row],[Precio]])</f>
        <v>1650</v>
      </c>
      <c r="J3870" s="57" t="str">
        <f>IFERROR(+VLOOKUP(Ventas[[#This Row],[Codigo de Producto]],Productos[#All],2,FALSE),"")</f>
        <v>Dispiasa</v>
      </c>
      <c r="K3870">
        <f>IFERROR(+VLOOKUP(Ventas[[#This Row],[Codigo de Producto]],Productos[#All],9,FALSE),"")</f>
        <v>1440</v>
      </c>
      <c r="M3870">
        <f t="shared" si="1260"/>
        <v>1440</v>
      </c>
      <c r="N3870">
        <f t="shared" si="1261"/>
        <v>210</v>
      </c>
    </row>
    <row r="3871" spans="1:14" x14ac:dyDescent="0.25">
      <c r="A3871">
        <v>108</v>
      </c>
      <c r="B3871" s="1">
        <v>44146</v>
      </c>
      <c r="C3871" s="57" t="str">
        <f>IF(Ventas[[#This Row],[Fecha ]]="","",+TEXT(B3871,"mmmm"))</f>
        <v>noviembre</v>
      </c>
      <c r="D3871" s="57" t="str">
        <f>IFERROR(+VLOOKUP(Ventas[[#This Row],[Codigo de Producto]],Productos[#All],3,FALSE),"")</f>
        <v>Lavamano</v>
      </c>
      <c r="E3871" t="s">
        <v>620</v>
      </c>
      <c r="F3871" s="57" t="str">
        <f>IFERROR(+VLOOKUP(Ventas[[#This Row],[Codigo de Producto]],Productos[#All],4,FALSE),"")</f>
        <v>Lavamano Cato Blanco</v>
      </c>
      <c r="G3871">
        <v>1</v>
      </c>
      <c r="H3871">
        <v>1450</v>
      </c>
      <c r="I3871" s="57">
        <f>IF(Ventas[[#This Row],[Cantidad]]="","",+Ventas[[#This Row],[Cantidad]]*Ventas[[#This Row],[Precio]])</f>
        <v>1450</v>
      </c>
      <c r="J3871" s="57" t="str">
        <f>IFERROR(+VLOOKUP(Ventas[[#This Row],[Codigo de Producto]],Productos[#All],2,FALSE),"")</f>
        <v>Comasa</v>
      </c>
      <c r="K3871">
        <f>IFERROR(+VLOOKUP(Ventas[[#This Row],[Codigo de Producto]],Productos[#All],9,FALSE),"")</f>
        <v>500</v>
      </c>
      <c r="M3871" s="57">
        <f>+IF(K3871=0,(""),(K3871*G3871))</f>
        <v>500</v>
      </c>
      <c r="N3871" s="57">
        <f>+IF(K3871=0,(""),(I3871-M3871))</f>
        <v>950</v>
      </c>
    </row>
    <row r="3872" spans="1:14" x14ac:dyDescent="0.25">
      <c r="A3872">
        <v>109</v>
      </c>
      <c r="B3872" s="1">
        <v>44146</v>
      </c>
      <c r="C3872" s="57" t="str">
        <f>IF(Ventas[[#This Row],[Fecha ]]="","",+TEXT(B3872,"mmmm"))</f>
        <v>noviembre</v>
      </c>
      <c r="D3872" s="57" t="str">
        <f>IFERROR(+VLOOKUP(Ventas[[#This Row],[Codigo de Producto]],Productos[#All],3,FALSE),"")</f>
        <v>Cerámica</v>
      </c>
      <c r="E3872" t="s">
        <v>715</v>
      </c>
      <c r="F3872" s="57" t="str">
        <f>IFERROR(+VLOOKUP(Ventas[[#This Row],[Codigo de Producto]],Productos[#All],4,FALSE),"")</f>
        <v>LD PD 20600</v>
      </c>
      <c r="G3872">
        <v>2.3199999999999998</v>
      </c>
      <c r="H3872">
        <v>250</v>
      </c>
      <c r="I3872" s="57">
        <f>IF(Ventas[[#This Row],[Cantidad]]="","",+Ventas[[#This Row],[Cantidad]]*Ventas[[#This Row],[Precio]])</f>
        <v>580</v>
      </c>
      <c r="J3872" s="57" t="str">
        <f>IFERROR(+VLOOKUP(Ventas[[#This Row],[Codigo de Producto]],Productos[#All],2,FALSE),"")</f>
        <v>Comasa</v>
      </c>
      <c r="K3872">
        <f>IFERROR(+VLOOKUP(Ventas[[#This Row],[Codigo de Producto]],Productos[#All],9,FALSE),"")</f>
        <v>220</v>
      </c>
      <c r="M3872">
        <f t="shared" si="1260"/>
        <v>510.4</v>
      </c>
      <c r="N3872">
        <f t="shared" si="1261"/>
        <v>69.600000000000023</v>
      </c>
    </row>
    <row r="3873" spans="1:14" x14ac:dyDescent="0.25">
      <c r="A3873">
        <v>110</v>
      </c>
      <c r="B3873" s="1">
        <v>44146</v>
      </c>
      <c r="C3873" s="57" t="str">
        <f>IF(Ventas[[#This Row],[Fecha ]]="","",+TEXT(B3873,"mmmm"))</f>
        <v>noviembre</v>
      </c>
      <c r="D3873" s="57" t="str">
        <f>IFERROR(+VLOOKUP(Ventas[[#This Row],[Codigo de Producto]],Productos[#All],3,FALSE),"")</f>
        <v>Cerámica</v>
      </c>
      <c r="E3873" t="s">
        <v>646</v>
      </c>
      <c r="F3873" s="57" t="str">
        <f>IFERROR(+VLOOKUP(Ventas[[#This Row],[Codigo de Producto]],Productos[#All],4,FALSE),"")</f>
        <v>Zacatepec Marrón</v>
      </c>
      <c r="G3873">
        <v>1</v>
      </c>
      <c r="H3873">
        <v>250</v>
      </c>
      <c r="I3873" s="57">
        <f>IF(Ventas[[#This Row],[Cantidad]]="","",+Ventas[[#This Row],[Cantidad]]*Ventas[[#This Row],[Precio]])</f>
        <v>250</v>
      </c>
      <c r="J3873" s="57" t="str">
        <f>IFERROR(+VLOOKUP(Ventas[[#This Row],[Codigo de Producto]],Productos[#All],2,FALSE),"")</f>
        <v>Dispiasa</v>
      </c>
      <c r="K3873">
        <f>IFERROR(+VLOOKUP(Ventas[[#This Row],[Codigo de Producto]],Productos[#All],9,FALSE),"")</f>
        <v>219</v>
      </c>
      <c r="M3873">
        <f t="shared" si="1260"/>
        <v>219</v>
      </c>
      <c r="N3873">
        <f t="shared" si="1261"/>
        <v>31</v>
      </c>
    </row>
    <row r="3874" spans="1:14" x14ac:dyDescent="0.25">
      <c r="A3874">
        <v>111</v>
      </c>
      <c r="B3874" s="1">
        <v>44147</v>
      </c>
      <c r="C3874" s="57" t="str">
        <f>IF(Ventas[[#This Row],[Fecha ]]="","",+TEXT(B3874,"mmmm"))</f>
        <v>noviembre</v>
      </c>
      <c r="D3874" s="57" t="str">
        <f>IFERROR(+VLOOKUP(Ventas[[#This Row],[Codigo de Producto]],Productos[#All],3,FALSE),"")</f>
        <v>Azulejos</v>
      </c>
      <c r="E3874" t="s">
        <v>664</v>
      </c>
      <c r="F3874" s="57" t="str">
        <f>IFERROR(+VLOOKUP(Ventas[[#This Row],[Codigo de Producto]],Productos[#All],4,FALSE),"")</f>
        <v>Oporto Verde</v>
      </c>
      <c r="G3874">
        <v>2</v>
      </c>
      <c r="H3874">
        <v>300</v>
      </c>
      <c r="I3874" s="57">
        <f>IF(Ventas[[#This Row],[Cantidad]]="","",+Ventas[[#This Row],[Cantidad]]*Ventas[[#This Row],[Precio]])</f>
        <v>600</v>
      </c>
      <c r="J3874" s="57" t="str">
        <f>IFERROR(+VLOOKUP(Ventas[[#This Row],[Codigo de Producto]],Productos[#All],2,FALSE),"")</f>
        <v>Dispiasa</v>
      </c>
      <c r="K3874">
        <f>IFERROR(+VLOOKUP(Ventas[[#This Row],[Codigo de Producto]],Productos[#All],9,FALSE),"")</f>
        <v>268</v>
      </c>
      <c r="M3874" s="57">
        <f t="shared" ref="M3874:M3905" si="1262">+IF(K3874=0,(""),(K3874*G3874))</f>
        <v>536</v>
      </c>
      <c r="N3874" s="57">
        <f t="shared" ref="N3874:N3905" si="1263">+IF(K3874=0,(""),(I3874-M3874))</f>
        <v>64</v>
      </c>
    </row>
    <row r="3875" spans="1:14" x14ac:dyDescent="0.25">
      <c r="A3875">
        <v>112</v>
      </c>
      <c r="B3875" s="1">
        <v>44147</v>
      </c>
      <c r="C3875" s="57" t="str">
        <f>IF(Ventas[[#This Row],[Fecha ]]="","",+TEXT(B3875,"mmmm"))</f>
        <v>noviembre</v>
      </c>
      <c r="D3875" s="57" t="str">
        <f>IFERROR(+VLOOKUP(Ventas[[#This Row],[Codigo de Producto]],Productos[#All],3,FALSE),"")</f>
        <v>Azulejos</v>
      </c>
      <c r="E3875" t="s">
        <v>716</v>
      </c>
      <c r="F3875" s="57" t="str">
        <f>IFERROR(+VLOOKUP(Ventas[[#This Row],[Codigo de Producto]],Productos[#All],4,FALSE),"")</f>
        <v>Lisboa Verde Liso</v>
      </c>
      <c r="G3875">
        <v>3</v>
      </c>
      <c r="H3875">
        <v>300</v>
      </c>
      <c r="I3875" s="57">
        <f>IF(Ventas[[#This Row],[Cantidad]]="","",+Ventas[[#This Row],[Cantidad]]*Ventas[[#This Row],[Precio]])</f>
        <v>900</v>
      </c>
      <c r="J3875" s="57" t="str">
        <f>IFERROR(+VLOOKUP(Ventas[[#This Row],[Codigo de Producto]],Productos[#All],2,FALSE),"")</f>
        <v>Dispiasa</v>
      </c>
      <c r="K3875">
        <f>IFERROR(+VLOOKUP(Ventas[[#This Row],[Codigo de Producto]],Productos[#All],9,FALSE),"")</f>
        <v>268</v>
      </c>
      <c r="M3875" s="57">
        <f t="shared" si="1262"/>
        <v>804</v>
      </c>
      <c r="N3875" s="57">
        <f t="shared" si="1263"/>
        <v>96</v>
      </c>
    </row>
    <row r="3876" spans="1:14" x14ac:dyDescent="0.25">
      <c r="A3876">
        <v>113</v>
      </c>
      <c r="B3876" s="1">
        <v>44147</v>
      </c>
      <c r="C3876" s="57" t="str">
        <f>IF(Ventas[[#This Row],[Fecha ]]="","",+TEXT(B3876,"mmmm"))</f>
        <v>noviembre</v>
      </c>
      <c r="D3876" s="57" t="str">
        <f>IFERROR(+VLOOKUP(Ventas[[#This Row],[Codigo de Producto]],Productos[#All],3,FALSE),"")</f>
        <v>Cerámica</v>
      </c>
      <c r="E3876" t="s">
        <v>663</v>
      </c>
      <c r="F3876" s="57" t="str">
        <f>IFERROR(+VLOOKUP(Ventas[[#This Row],[Codigo de Producto]],Productos[#All],4,FALSE),"")</f>
        <v>Mosaico Verde</v>
      </c>
      <c r="G3876">
        <f>2/9</f>
        <v>0.22222222222222221</v>
      </c>
      <c r="H3876">
        <v>300</v>
      </c>
      <c r="I3876" s="57">
        <f>IF(Ventas[[#This Row],[Cantidad]]="","",+Ventas[[#This Row],[Cantidad]]*Ventas[[#This Row],[Precio]])</f>
        <v>66.666666666666657</v>
      </c>
      <c r="J3876" s="57" t="str">
        <f>IFERROR(+VLOOKUP(Ventas[[#This Row],[Codigo de Producto]],Productos[#All],2,FALSE),"")</f>
        <v>Dispiasa</v>
      </c>
      <c r="K3876">
        <f>IFERROR(+VLOOKUP(Ventas[[#This Row],[Codigo de Producto]],Productos[#All],9,FALSE),"")</f>
        <v>268</v>
      </c>
      <c r="M3876" s="57">
        <f t="shared" si="1262"/>
        <v>59.55555555555555</v>
      </c>
      <c r="N3876" s="57">
        <f t="shared" si="1263"/>
        <v>7.1111111111111072</v>
      </c>
    </row>
    <row r="3877" spans="1:14" x14ac:dyDescent="0.25">
      <c r="A3877">
        <v>114</v>
      </c>
      <c r="B3877" s="1">
        <v>44147</v>
      </c>
      <c r="C3877" s="57" t="str">
        <f>IF(Ventas[[#This Row],[Fecha ]]="","",+TEXT(B3877,"mmmm"))</f>
        <v>noviembre</v>
      </c>
      <c r="D3877" s="57" t="str">
        <f>IFERROR(+VLOOKUP(Ventas[[#This Row],[Codigo de Producto]],Productos[#All],3,FALSE),"")</f>
        <v>Porcelanato</v>
      </c>
      <c r="E3877" t="s">
        <v>694</v>
      </c>
      <c r="F3877" s="57" t="str">
        <f>IFERROR(+VLOOKUP(Ventas[[#This Row],[Codigo de Producto]],Productos[#All],4,FALSE),"")</f>
        <v>Beige Marfil</v>
      </c>
      <c r="G3877">
        <v>10.08</v>
      </c>
      <c r="H3877">
        <v>380</v>
      </c>
      <c r="I3877" s="57">
        <f>IF(Ventas[[#This Row],[Cantidad]]="","",+Ventas[[#This Row],[Cantidad]]*Ventas[[#This Row],[Precio]])</f>
        <v>3830.4</v>
      </c>
      <c r="J3877" s="57" t="str">
        <f>IFERROR(+VLOOKUP(Ventas[[#This Row],[Codigo de Producto]],Productos[#All],2,FALSE),"")</f>
        <v>Halcón</v>
      </c>
      <c r="K3877">
        <f>IFERROR(+VLOOKUP(Ventas[[#This Row],[Codigo de Producto]],Productos[#All],9,FALSE),"")</f>
        <v>340</v>
      </c>
      <c r="M3877" s="57">
        <f t="shared" si="1262"/>
        <v>3427.2</v>
      </c>
      <c r="N3877" s="57">
        <f t="shared" si="1263"/>
        <v>403.20000000000027</v>
      </c>
    </row>
    <row r="3878" spans="1:14" x14ac:dyDescent="0.25">
      <c r="A3878">
        <v>115</v>
      </c>
      <c r="B3878" s="1">
        <v>44147</v>
      </c>
      <c r="C3878" s="57" t="str">
        <f>IF(Ventas[[#This Row],[Fecha ]]="","",+TEXT(B3878,"mmmm"))</f>
        <v>noviembre</v>
      </c>
      <c r="D3878" s="57" t="str">
        <f>IFERROR(+VLOOKUP(Ventas[[#This Row],[Codigo de Producto]],Productos[#All],3,FALSE),"")</f>
        <v>Lavamano</v>
      </c>
      <c r="E3878" t="s">
        <v>619</v>
      </c>
      <c r="F3878" s="57" t="str">
        <f>IFERROR(+VLOOKUP(Ventas[[#This Row],[Codigo de Producto]],Productos[#All],4,FALSE),"")</f>
        <v>Lavamano Aqua Blanco</v>
      </c>
      <c r="G3878">
        <v>1</v>
      </c>
      <c r="H3878">
        <v>900</v>
      </c>
      <c r="I3878" s="57">
        <f>IF(Ventas[[#This Row],[Cantidad]]="","",+Ventas[[#This Row],[Cantidad]]*Ventas[[#This Row],[Precio]])</f>
        <v>900</v>
      </c>
      <c r="J3878" s="57" t="str">
        <f>IFERROR(+VLOOKUP(Ventas[[#This Row],[Codigo de Producto]],Productos[#All],2,FALSE),"")</f>
        <v>Dispiasa</v>
      </c>
      <c r="K3878">
        <f>IFERROR(+VLOOKUP(Ventas[[#This Row],[Codigo de Producto]],Productos[#All],9,FALSE),"")</f>
        <v>480</v>
      </c>
      <c r="M3878" s="57">
        <f t="shared" si="1262"/>
        <v>480</v>
      </c>
      <c r="N3878" s="57">
        <f t="shared" si="1263"/>
        <v>420</v>
      </c>
    </row>
    <row r="3879" spans="1:14" x14ac:dyDescent="0.25">
      <c r="A3879">
        <v>116</v>
      </c>
      <c r="B3879" s="1">
        <v>44147</v>
      </c>
      <c r="C3879" s="57" t="str">
        <f>IF(Ventas[[#This Row],[Fecha ]]="","",+TEXT(B3879,"mmmm"))</f>
        <v>noviembre</v>
      </c>
      <c r="D3879" s="57" t="str">
        <f>IFERROR(+VLOOKUP(Ventas[[#This Row],[Codigo de Producto]],Productos[#All],3,FALSE),"")</f>
        <v>Lavamano</v>
      </c>
      <c r="E3879" t="s">
        <v>717</v>
      </c>
      <c r="F3879" s="57" t="str">
        <f>IFERROR(+VLOOKUP(Ventas[[#This Row],[Codigo de Producto]],Productos[#All],4,FALSE),"")</f>
        <v>Llave + Centro + Trampa</v>
      </c>
      <c r="G3879">
        <v>1</v>
      </c>
      <c r="H3879">
        <v>250</v>
      </c>
      <c r="I3879" s="57">
        <f>IF(Ventas[[#This Row],[Cantidad]]="","",+Ventas[[#This Row],[Cantidad]]*Ventas[[#This Row],[Precio]])</f>
        <v>250</v>
      </c>
      <c r="J3879" s="57" t="str">
        <f>IFERROR(+VLOOKUP(Ventas[[#This Row],[Codigo de Producto]],Productos[#All],2,FALSE),"")</f>
        <v>Silco</v>
      </c>
      <c r="K3879">
        <f>IFERROR(+VLOOKUP(Ventas[[#This Row],[Codigo de Producto]],Productos[#All],9,FALSE),"")</f>
        <v>170</v>
      </c>
      <c r="M3879" s="57">
        <f t="shared" si="1262"/>
        <v>170</v>
      </c>
      <c r="N3879" s="57">
        <f t="shared" si="1263"/>
        <v>80</v>
      </c>
    </row>
    <row r="3880" spans="1:14" x14ac:dyDescent="0.25">
      <c r="A3880">
        <v>117</v>
      </c>
      <c r="B3880" s="1">
        <v>44147</v>
      </c>
      <c r="C3880" s="57" t="str">
        <f>IF(Ventas[[#This Row],[Fecha ]]="","",+TEXT(B3880,"mmmm"))</f>
        <v>noviembre</v>
      </c>
      <c r="D3880" s="57" t="str">
        <f>IFERROR(+VLOOKUP(Ventas[[#This Row],[Codigo de Producto]],Productos[#All],3,FALSE),"")</f>
        <v>Plasterbond</v>
      </c>
      <c r="E3880" t="s">
        <v>713</v>
      </c>
      <c r="F3880" s="57" t="str">
        <f>IFERROR(+VLOOKUP(Ventas[[#This Row],[Codigo de Producto]],Productos[#All],4,FALSE),"")</f>
        <v>Plasterbond Klebe</v>
      </c>
      <c r="G3880">
        <v>3.2</v>
      </c>
      <c r="H3880">
        <v>100</v>
      </c>
      <c r="I3880" s="57">
        <f>IF(Ventas[[#This Row],[Cantidad]]="","",+Ventas[[#This Row],[Cantidad]]*Ventas[[#This Row],[Precio]])</f>
        <v>320</v>
      </c>
      <c r="J3880" s="57" t="str">
        <f>IFERROR(+VLOOKUP(Ventas[[#This Row],[Codigo de Producto]],Productos[#All],2,FALSE),"")</f>
        <v>Aginsa</v>
      </c>
      <c r="K3880">
        <f>IFERROR(+VLOOKUP(Ventas[[#This Row],[Codigo de Producto]],Productos[#All],9,FALSE),"")</f>
        <v>80</v>
      </c>
      <c r="M3880" s="57">
        <f t="shared" si="1262"/>
        <v>256</v>
      </c>
      <c r="N3880" s="57">
        <f t="shared" si="1263"/>
        <v>64</v>
      </c>
    </row>
    <row r="3881" spans="1:14" x14ac:dyDescent="0.25">
      <c r="A3881">
        <v>118</v>
      </c>
      <c r="B3881" s="1">
        <v>44147</v>
      </c>
      <c r="C3881" s="57" t="str">
        <f>IF(Ventas[[#This Row],[Fecha ]]="","",+TEXT(B3881,"mmmm"))</f>
        <v>noviembre</v>
      </c>
      <c r="D3881" s="57" t="str">
        <f>IFERROR(+VLOOKUP(Ventas[[#This Row],[Codigo de Producto]],Productos[#All],3,FALSE),"")</f>
        <v>Porcelana</v>
      </c>
      <c r="E3881" t="s">
        <v>708</v>
      </c>
      <c r="F3881" s="57" t="str">
        <f>IFERROR(+VLOOKUP(Ventas[[#This Row],[Codigo de Producto]],Productos[#All],4,FALSE),"")</f>
        <v xml:space="preserve">Porcelana Maya </v>
      </c>
      <c r="G3881">
        <v>1</v>
      </c>
      <c r="H3881">
        <v>60</v>
      </c>
      <c r="I3881" s="57">
        <f>IF(Ventas[[#This Row],[Cantidad]]="","",+Ventas[[#This Row],[Cantidad]]*Ventas[[#This Row],[Precio]])</f>
        <v>60</v>
      </c>
      <c r="J3881" s="57" t="str">
        <f>IFERROR(+VLOOKUP(Ventas[[#This Row],[Codigo de Producto]],Productos[#All],2,FALSE),"")</f>
        <v>Martinez</v>
      </c>
      <c r="K3881">
        <f>IFERROR(+VLOOKUP(Ventas[[#This Row],[Codigo de Producto]],Productos[#All],9,FALSE),"")</f>
        <v>33.333333333333336</v>
      </c>
      <c r="M3881" s="57">
        <f t="shared" si="1262"/>
        <v>33.333333333333336</v>
      </c>
      <c r="N3881" s="57">
        <f t="shared" si="1263"/>
        <v>26.666666666666664</v>
      </c>
    </row>
    <row r="3882" spans="1:14" x14ac:dyDescent="0.25">
      <c r="A3882">
        <v>119</v>
      </c>
      <c r="B3882" s="1">
        <v>44147</v>
      </c>
      <c r="C3882" s="57" t="str">
        <f>IF(Ventas[[#This Row],[Fecha ]]="","",+TEXT(B3882,"mmmm"))</f>
        <v>noviembre</v>
      </c>
      <c r="D3882" s="57" t="str">
        <f>IFERROR(+VLOOKUP(Ventas[[#This Row],[Codigo de Producto]],Productos[#All],3,FALSE),"")</f>
        <v>Separadores</v>
      </c>
      <c r="E3882" t="s">
        <v>719</v>
      </c>
      <c r="F3882" s="57" t="str">
        <f>IFERROR(+VLOOKUP(Ventas[[#This Row],[Codigo de Producto]],Productos[#All],4,FALSE),"")</f>
        <v>Separadores de 2 mm</v>
      </c>
      <c r="G3882">
        <v>1</v>
      </c>
      <c r="H3882">
        <v>35</v>
      </c>
      <c r="I3882" s="57">
        <f>IF(Ventas[[#This Row],[Cantidad]]="","",+Ventas[[#This Row],[Cantidad]]*Ventas[[#This Row],[Precio]])</f>
        <v>35</v>
      </c>
      <c r="J3882" s="57" t="str">
        <f>IFERROR(+VLOOKUP(Ventas[[#This Row],[Codigo de Producto]],Productos[#All],2,FALSE),"")</f>
        <v>Silco</v>
      </c>
      <c r="K3882">
        <f>IFERROR(+VLOOKUP(Ventas[[#This Row],[Codigo de Producto]],Productos[#All],9,FALSE),"")</f>
        <v>20</v>
      </c>
      <c r="M3882" s="57">
        <f t="shared" si="1262"/>
        <v>20</v>
      </c>
      <c r="N3882" s="57">
        <f t="shared" si="1263"/>
        <v>15</v>
      </c>
    </row>
    <row r="3883" spans="1:14" x14ac:dyDescent="0.25">
      <c r="A3883">
        <v>120</v>
      </c>
      <c r="B3883" s="1">
        <v>44147</v>
      </c>
      <c r="C3883" s="57" t="str">
        <f>IF(Ventas[[#This Row],[Fecha ]]="","",+TEXT(B3883,"mmmm"))</f>
        <v>noviembre</v>
      </c>
      <c r="D3883" s="57" t="str">
        <f>IFERROR(+VLOOKUP(Ventas[[#This Row],[Codigo de Producto]],Productos[#All],3,FALSE),"")</f>
        <v>Azulejos</v>
      </c>
      <c r="E3883" t="s">
        <v>637</v>
      </c>
      <c r="F3883" s="57" t="str">
        <f>IFERROR(+VLOOKUP(Ventas[[#This Row],[Codigo de Producto]],Productos[#All],4,FALSE),"")</f>
        <v>Marsella Blanco</v>
      </c>
      <c r="G3883">
        <v>12</v>
      </c>
      <c r="H3883">
        <v>300</v>
      </c>
      <c r="I3883" s="57">
        <f>IF(Ventas[[#This Row],[Cantidad]]="","",+Ventas[[#This Row],[Cantidad]]*Ventas[[#This Row],[Precio]])</f>
        <v>3600</v>
      </c>
      <c r="J3883" s="57" t="str">
        <f>IFERROR(+VLOOKUP(Ventas[[#This Row],[Codigo de Producto]],Productos[#All],2,FALSE),"")</f>
        <v>Dispiasa</v>
      </c>
      <c r="K3883">
        <f>IFERROR(+VLOOKUP(Ventas[[#This Row],[Codigo de Producto]],Productos[#All],9,FALSE),"")</f>
        <v>268</v>
      </c>
      <c r="M3883" s="57">
        <f t="shared" si="1262"/>
        <v>3216</v>
      </c>
      <c r="N3883" s="57">
        <f t="shared" si="1263"/>
        <v>384</v>
      </c>
    </row>
    <row r="3884" spans="1:14" x14ac:dyDescent="0.25">
      <c r="A3884">
        <v>121</v>
      </c>
      <c r="B3884" s="1">
        <v>44147</v>
      </c>
      <c r="C3884" s="57" t="str">
        <f>IF(Ventas[[#This Row],[Fecha ]]="","",+TEXT(B3884,"mmmm"))</f>
        <v>noviembre</v>
      </c>
      <c r="D3884" s="57" t="str">
        <f>IFERROR(+VLOOKUP(Ventas[[#This Row],[Codigo de Producto]],Productos[#All],3,FALSE),"")</f>
        <v>Bond</v>
      </c>
      <c r="E3884" t="s">
        <v>704</v>
      </c>
      <c r="F3884" s="57" t="str">
        <f>IFERROR(+VLOOKUP(Ventas[[#This Row],[Codigo de Producto]],Productos[#All],4,FALSE),"")</f>
        <v>Drytec Bond Plus</v>
      </c>
      <c r="G3884">
        <v>4</v>
      </c>
      <c r="H3884">
        <v>155</v>
      </c>
      <c r="I3884" s="57">
        <f>IF(Ventas[[#This Row],[Cantidad]]="","",+Ventas[[#This Row],[Cantidad]]*Ventas[[#This Row],[Precio]])</f>
        <v>620</v>
      </c>
      <c r="J3884" s="57" t="str">
        <f>IFERROR(+VLOOKUP(Ventas[[#This Row],[Codigo de Producto]],Productos[#All],2,FALSE),"")</f>
        <v>Comasa</v>
      </c>
      <c r="K3884">
        <f>IFERROR(+VLOOKUP(Ventas[[#This Row],[Codigo de Producto]],Productos[#All],9,FALSE),"")</f>
        <v>127</v>
      </c>
      <c r="M3884" s="57">
        <f t="shared" si="1262"/>
        <v>508</v>
      </c>
      <c r="N3884" s="57">
        <f t="shared" si="1263"/>
        <v>112</v>
      </c>
    </row>
    <row r="3885" spans="1:14" x14ac:dyDescent="0.25">
      <c r="A3885">
        <v>122</v>
      </c>
      <c r="B3885" s="1">
        <v>44147</v>
      </c>
      <c r="C3885" s="57" t="str">
        <f>IF(Ventas[[#This Row],[Fecha ]]="","",+TEXT(B3885,"mmmm"))</f>
        <v>noviembre</v>
      </c>
      <c r="D3885" s="57" t="str">
        <f>IFERROR(+VLOOKUP(Ventas[[#This Row],[Codigo de Producto]],Productos[#All],3,FALSE),"")</f>
        <v>Porcelana</v>
      </c>
      <c r="E3885" t="s">
        <v>708</v>
      </c>
      <c r="F3885" s="57" t="str">
        <f>IFERROR(+VLOOKUP(Ventas[[#This Row],[Codigo de Producto]],Productos[#All],4,FALSE),"")</f>
        <v xml:space="preserve">Porcelana Maya </v>
      </c>
      <c r="G3885">
        <v>2</v>
      </c>
      <c r="H3885">
        <v>60</v>
      </c>
      <c r="I3885" s="57">
        <f>IF(Ventas[[#This Row],[Cantidad]]="","",+Ventas[[#This Row],[Cantidad]]*Ventas[[#This Row],[Precio]])</f>
        <v>120</v>
      </c>
      <c r="J3885" s="57" t="str">
        <f>IFERROR(+VLOOKUP(Ventas[[#This Row],[Codigo de Producto]],Productos[#All],2,FALSE),"")</f>
        <v>Martinez</v>
      </c>
      <c r="K3885">
        <f>IFERROR(+VLOOKUP(Ventas[[#This Row],[Codigo de Producto]],Productos[#All],9,FALSE),"")</f>
        <v>33.333333333333336</v>
      </c>
      <c r="M3885" s="57">
        <f t="shared" si="1262"/>
        <v>66.666666666666671</v>
      </c>
      <c r="N3885" s="57">
        <f t="shared" si="1263"/>
        <v>53.333333333333329</v>
      </c>
    </row>
    <row r="3886" spans="1:14" x14ac:dyDescent="0.25">
      <c r="A3886">
        <v>123</v>
      </c>
      <c r="B3886" s="1">
        <v>44147</v>
      </c>
      <c r="C3886" s="57" t="str">
        <f>IF(Ventas[[#This Row],[Fecha ]]="","",+TEXT(B3886,"mmmm"))</f>
        <v>noviembre</v>
      </c>
      <c r="D3886" s="57" t="str">
        <f>IFERROR(+VLOOKUP(Ventas[[#This Row],[Codigo de Producto]],Productos[#All],3,FALSE),"")</f>
        <v>Cerámica</v>
      </c>
      <c r="E3886" t="s">
        <v>703</v>
      </c>
      <c r="F3886" s="57" t="str">
        <f>IFERROR(+VLOOKUP(Ventas[[#This Row],[Codigo de Producto]],Productos[#All],4,FALSE),"")</f>
        <v>Nogal Oscuro</v>
      </c>
      <c r="G3886">
        <f>4/9</f>
        <v>0.44444444444444442</v>
      </c>
      <c r="H3886">
        <v>300</v>
      </c>
      <c r="I3886" s="57">
        <f>IF(Ventas[[#This Row],[Cantidad]]="","",+Ventas[[#This Row],[Cantidad]]*Ventas[[#This Row],[Precio]])</f>
        <v>133.33333333333331</v>
      </c>
      <c r="J3886" s="57" t="str">
        <f>IFERROR(+VLOOKUP(Ventas[[#This Row],[Codigo de Producto]],Productos[#All],2,FALSE),"")</f>
        <v>Dispiasa</v>
      </c>
      <c r="K3886">
        <f>IFERROR(+VLOOKUP(Ventas[[#This Row],[Codigo de Producto]],Productos[#All],9,FALSE),"")</f>
        <v>268</v>
      </c>
      <c r="M3886" s="57">
        <f t="shared" si="1262"/>
        <v>119.1111111111111</v>
      </c>
      <c r="N3886" s="57">
        <f t="shared" si="1263"/>
        <v>14.222222222222214</v>
      </c>
    </row>
    <row r="3887" spans="1:14" x14ac:dyDescent="0.25">
      <c r="A3887">
        <v>124</v>
      </c>
      <c r="B3887" s="1">
        <v>44147</v>
      </c>
      <c r="C3887" s="57" t="str">
        <f>IF(Ventas[[#This Row],[Fecha ]]="","",+TEXT(B3887,"mmmm"))</f>
        <v>noviembre</v>
      </c>
      <c r="D3887" s="57" t="str">
        <f>IFERROR(+VLOOKUP(Ventas[[#This Row],[Codigo de Producto]],Productos[#All],3,FALSE),"")</f>
        <v>Azulejos</v>
      </c>
      <c r="E3887" t="s">
        <v>669</v>
      </c>
      <c r="F3887" s="57" t="str">
        <f>IFERROR(+VLOOKUP(Ventas[[#This Row],[Codigo de Producto]],Productos[#All],4,FALSE),"")</f>
        <v>Baleares Azul Liso</v>
      </c>
      <c r="G3887">
        <v>1.5</v>
      </c>
      <c r="H3887">
        <v>300</v>
      </c>
      <c r="I3887" s="57">
        <f>IF(Ventas[[#This Row],[Cantidad]]="","",+Ventas[[#This Row],[Cantidad]]*Ventas[[#This Row],[Precio]])</f>
        <v>450</v>
      </c>
      <c r="J3887" s="57" t="str">
        <f>IFERROR(+VLOOKUP(Ventas[[#This Row],[Codigo de Producto]],Productos[#All],2,FALSE),"")</f>
        <v>Dispiasa</v>
      </c>
      <c r="K3887">
        <f>IFERROR(+VLOOKUP(Ventas[[#This Row],[Codigo de Producto]],Productos[#All],9,FALSE),"")</f>
        <v>268</v>
      </c>
      <c r="M3887" s="57">
        <f t="shared" si="1262"/>
        <v>402</v>
      </c>
      <c r="N3887" s="57">
        <f t="shared" si="1263"/>
        <v>48</v>
      </c>
    </row>
    <row r="3888" spans="1:14" x14ac:dyDescent="0.25">
      <c r="A3888">
        <v>125</v>
      </c>
      <c r="B3888" s="1">
        <v>44147</v>
      </c>
      <c r="C3888" s="57" t="str">
        <f>IF(Ventas[[#This Row],[Fecha ]]="","",+TEXT(B3888,"mmmm"))</f>
        <v>noviembre</v>
      </c>
      <c r="D3888" s="57" t="str">
        <f>IFERROR(+VLOOKUP(Ventas[[#This Row],[Codigo de Producto]],Productos[#All],3,FALSE),"")</f>
        <v>Cerámica</v>
      </c>
      <c r="E3888" t="s">
        <v>646</v>
      </c>
      <c r="F3888" s="57" t="str">
        <f>IFERROR(+VLOOKUP(Ventas[[#This Row],[Codigo de Producto]],Productos[#All],4,FALSE),"")</f>
        <v>Zacatepec Marrón</v>
      </c>
      <c r="G3888">
        <v>1</v>
      </c>
      <c r="H3888">
        <v>250</v>
      </c>
      <c r="I3888" s="57">
        <f>IF(Ventas[[#This Row],[Cantidad]]="","",+Ventas[[#This Row],[Cantidad]]*Ventas[[#This Row],[Precio]])</f>
        <v>250</v>
      </c>
      <c r="J3888" s="57" t="str">
        <f>IFERROR(+VLOOKUP(Ventas[[#This Row],[Codigo de Producto]],Productos[#All],2,FALSE),"")</f>
        <v>Dispiasa</v>
      </c>
      <c r="K3888">
        <f>IFERROR(+VLOOKUP(Ventas[[#This Row],[Codigo de Producto]],Productos[#All],9,FALSE),"")</f>
        <v>219</v>
      </c>
      <c r="M3888" s="57">
        <f t="shared" si="1262"/>
        <v>219</v>
      </c>
      <c r="N3888" s="57">
        <f t="shared" si="1263"/>
        <v>31</v>
      </c>
    </row>
    <row r="3889" spans="1:14" x14ac:dyDescent="0.25">
      <c r="A3889">
        <v>126</v>
      </c>
      <c r="B3889" s="1">
        <v>44148</v>
      </c>
      <c r="C3889" s="57" t="str">
        <f>IF(Ventas[[#This Row],[Fecha ]]="","",+TEXT(B3889,"mmmm"))</f>
        <v>noviembre</v>
      </c>
      <c r="D3889" s="57" t="str">
        <f>IFERROR(+VLOOKUP(Ventas[[#This Row],[Codigo de Producto]],Productos[#All],3,FALSE),"")</f>
        <v>Cerámica</v>
      </c>
      <c r="E3889" t="s">
        <v>645</v>
      </c>
      <c r="F3889" s="57" t="str">
        <f>IFERROR(+VLOOKUP(Ventas[[#This Row],[Codigo de Producto]],Productos[#All],4,FALSE),"")</f>
        <v>822 Roble</v>
      </c>
      <c r="G3889">
        <v>6</v>
      </c>
      <c r="H3889">
        <v>240</v>
      </c>
      <c r="I3889" s="57">
        <f>IF(Ventas[[#This Row],[Cantidad]]="","",+Ventas[[#This Row],[Cantidad]]*Ventas[[#This Row],[Precio]])</f>
        <v>1440</v>
      </c>
      <c r="J3889" s="57" t="str">
        <f>IFERROR(+VLOOKUP(Ventas[[#This Row],[Codigo de Producto]],Productos[#All],2,FALSE),"")</f>
        <v>Dispiasa</v>
      </c>
      <c r="K3889">
        <f>IFERROR(+VLOOKUP(Ventas[[#This Row],[Codigo de Producto]],Productos[#All],9,FALSE),"")</f>
        <v>207</v>
      </c>
      <c r="M3889" s="57">
        <f t="shared" si="1262"/>
        <v>1242</v>
      </c>
      <c r="N3889" s="57">
        <f t="shared" si="1263"/>
        <v>198</v>
      </c>
    </row>
    <row r="3890" spans="1:14" x14ac:dyDescent="0.25">
      <c r="A3890">
        <v>127</v>
      </c>
      <c r="B3890" s="1">
        <v>44148</v>
      </c>
      <c r="C3890" s="57" t="str">
        <f>IF(Ventas[[#This Row],[Fecha ]]="","",+TEXT(B3890,"mmmm"))</f>
        <v>noviembre</v>
      </c>
      <c r="D3890" s="57" t="str">
        <f>IFERROR(+VLOOKUP(Ventas[[#This Row],[Codigo de Producto]],Productos[#All],3,FALSE),"")</f>
        <v>Porcelanato</v>
      </c>
      <c r="E3890" t="s">
        <v>694</v>
      </c>
      <c r="F3890" s="57" t="str">
        <f>IFERROR(+VLOOKUP(Ventas[[#This Row],[Codigo de Producto]],Productos[#All],4,FALSE),"")</f>
        <v>Beige Marfil</v>
      </c>
      <c r="G3890">
        <v>33</v>
      </c>
      <c r="H3890">
        <v>375</v>
      </c>
      <c r="I3890" s="57">
        <f>IF(Ventas[[#This Row],[Cantidad]]="","",+Ventas[[#This Row],[Cantidad]]*Ventas[[#This Row],[Precio]])</f>
        <v>12375</v>
      </c>
      <c r="J3890" s="57" t="str">
        <f>IFERROR(+VLOOKUP(Ventas[[#This Row],[Codigo de Producto]],Productos[#All],2,FALSE),"")</f>
        <v>Halcón</v>
      </c>
      <c r="K3890">
        <f>IFERROR(+VLOOKUP(Ventas[[#This Row],[Codigo de Producto]],Productos[#All],9,FALSE),"")</f>
        <v>340</v>
      </c>
      <c r="M3890" s="57">
        <f t="shared" si="1262"/>
        <v>11220</v>
      </c>
      <c r="N3890" s="57">
        <f t="shared" si="1263"/>
        <v>1155</v>
      </c>
    </row>
    <row r="3891" spans="1:14" x14ac:dyDescent="0.25">
      <c r="A3891">
        <v>128</v>
      </c>
      <c r="B3891" s="1">
        <v>44148</v>
      </c>
      <c r="C3891" s="57" t="str">
        <f>IF(Ventas[[#This Row],[Fecha ]]="","",+TEXT(B3891,"mmmm"))</f>
        <v>noviembre</v>
      </c>
      <c r="D3891" s="57" t="str">
        <f>IFERROR(+VLOOKUP(Ventas[[#This Row],[Codigo de Producto]],Productos[#All],3,FALSE),"")</f>
        <v>Porcelana</v>
      </c>
      <c r="E3891" t="s">
        <v>708</v>
      </c>
      <c r="F3891" s="57" t="str">
        <f>IFERROR(+VLOOKUP(Ventas[[#This Row],[Codigo de Producto]],Productos[#All],4,FALSE),"")</f>
        <v xml:space="preserve">Porcelana Maya </v>
      </c>
      <c r="G3891">
        <v>6</v>
      </c>
      <c r="H3891">
        <v>60</v>
      </c>
      <c r="I3891" s="57">
        <f>IF(Ventas[[#This Row],[Cantidad]]="","",+Ventas[[#This Row],[Cantidad]]*Ventas[[#This Row],[Precio]])</f>
        <v>360</v>
      </c>
      <c r="J3891" s="57" t="str">
        <f>IFERROR(+VLOOKUP(Ventas[[#This Row],[Codigo de Producto]],Productos[#All],2,FALSE),"")</f>
        <v>Martinez</v>
      </c>
      <c r="K3891">
        <f>IFERROR(+VLOOKUP(Ventas[[#This Row],[Codigo de Producto]],Productos[#All],9,FALSE),"")</f>
        <v>33.333333333333336</v>
      </c>
      <c r="M3891" s="57">
        <f t="shared" si="1262"/>
        <v>200</v>
      </c>
      <c r="N3891" s="57">
        <f t="shared" si="1263"/>
        <v>160</v>
      </c>
    </row>
    <row r="3892" spans="1:14" x14ac:dyDescent="0.25">
      <c r="A3892">
        <v>129</v>
      </c>
      <c r="B3892" s="1">
        <v>44148</v>
      </c>
      <c r="C3892" s="57" t="str">
        <f>IF(Ventas[[#This Row],[Fecha ]]="","",+TEXT(B3892,"mmmm"))</f>
        <v>noviembre</v>
      </c>
      <c r="D3892" s="57" t="str">
        <f>IFERROR(+VLOOKUP(Ventas[[#This Row],[Codigo de Producto]],Productos[#All],3,FALSE),"")</f>
        <v>Separadores</v>
      </c>
      <c r="E3892" t="s">
        <v>719</v>
      </c>
      <c r="F3892" s="57" t="str">
        <f>IFERROR(+VLOOKUP(Ventas[[#This Row],[Codigo de Producto]],Productos[#All],4,FALSE),"")</f>
        <v>Separadores de 2 mm</v>
      </c>
      <c r="G3892">
        <v>5</v>
      </c>
      <c r="H3892">
        <v>35</v>
      </c>
      <c r="I3892" s="57">
        <f>IF(Ventas[[#This Row],[Cantidad]]="","",+Ventas[[#This Row],[Cantidad]]*Ventas[[#This Row],[Precio]])</f>
        <v>175</v>
      </c>
      <c r="J3892" s="57" t="str">
        <f>IFERROR(+VLOOKUP(Ventas[[#This Row],[Codigo de Producto]],Productos[#All],2,FALSE),"")</f>
        <v>Silco</v>
      </c>
      <c r="K3892">
        <f>IFERROR(+VLOOKUP(Ventas[[#This Row],[Codigo de Producto]],Productos[#All],9,FALSE),"")</f>
        <v>20</v>
      </c>
      <c r="M3892" s="57">
        <f t="shared" si="1262"/>
        <v>100</v>
      </c>
      <c r="N3892" s="57">
        <f t="shared" si="1263"/>
        <v>75</v>
      </c>
    </row>
    <row r="3893" spans="1:14" x14ac:dyDescent="0.25">
      <c r="A3893">
        <v>130</v>
      </c>
      <c r="B3893" s="1">
        <v>44148</v>
      </c>
      <c r="C3893" s="57" t="str">
        <f>IF(Ventas[[#This Row],[Fecha ]]="","",+TEXT(B3893,"mmmm"))</f>
        <v>noviembre</v>
      </c>
      <c r="D3893" s="57" t="str">
        <f>IFERROR(+VLOOKUP(Ventas[[#This Row],[Codigo de Producto]],Productos[#All],3,FALSE),"")</f>
        <v>Bond</v>
      </c>
      <c r="E3893" t="s">
        <v>705</v>
      </c>
      <c r="F3893" s="57" t="str">
        <f>IFERROR(+VLOOKUP(Ventas[[#This Row],[Codigo de Producto]],Productos[#All],4,FALSE),"")</f>
        <v>Bond Porcelanato Drytec</v>
      </c>
      <c r="G3893">
        <v>10</v>
      </c>
      <c r="H3893">
        <v>260</v>
      </c>
      <c r="I3893" s="57">
        <f>IF(Ventas[[#This Row],[Cantidad]]="","",+Ventas[[#This Row],[Cantidad]]*Ventas[[#This Row],[Precio]])</f>
        <v>2600</v>
      </c>
      <c r="J3893" s="57" t="str">
        <f>IFERROR(+VLOOKUP(Ventas[[#This Row],[Codigo de Producto]],Productos[#All],2,FALSE),"")</f>
        <v>Comasa</v>
      </c>
      <c r="K3893">
        <f>IFERROR(+VLOOKUP(Ventas[[#This Row],[Codigo de Producto]],Productos[#All],9,FALSE),"")</f>
        <v>190</v>
      </c>
      <c r="M3893" s="57">
        <f t="shared" si="1262"/>
        <v>1900</v>
      </c>
      <c r="N3893" s="57">
        <f t="shared" si="1263"/>
        <v>700</v>
      </c>
    </row>
    <row r="3894" spans="1:14" x14ac:dyDescent="0.25">
      <c r="A3894">
        <v>131</v>
      </c>
      <c r="B3894" s="1">
        <v>44148</v>
      </c>
      <c r="C3894" s="57" t="str">
        <f>IF(Ventas[[#This Row],[Fecha ]]="","",+TEXT(B3894,"mmmm"))</f>
        <v>noviembre</v>
      </c>
      <c r="D3894" s="57" t="str">
        <f>IFERROR(+VLOOKUP(Ventas[[#This Row],[Codigo de Producto]],Productos[#All],3,FALSE),"")</f>
        <v>Cerámica</v>
      </c>
      <c r="E3894" t="s">
        <v>645</v>
      </c>
      <c r="F3894" s="57" t="str">
        <f>IFERROR(+VLOOKUP(Ventas[[#This Row],[Codigo de Producto]],Productos[#All],4,FALSE),"")</f>
        <v>822 Roble</v>
      </c>
      <c r="G3894">
        <v>15.43</v>
      </c>
      <c r="H3894">
        <v>235</v>
      </c>
      <c r="I3894" s="57">
        <f>IF(Ventas[[#This Row],[Cantidad]]="","",+Ventas[[#This Row],[Cantidad]]*Ventas[[#This Row],[Precio]])</f>
        <v>3626.0499999999997</v>
      </c>
      <c r="J3894" s="57" t="str">
        <f>IFERROR(+VLOOKUP(Ventas[[#This Row],[Codigo de Producto]],Productos[#All],2,FALSE),"")</f>
        <v>Dispiasa</v>
      </c>
      <c r="K3894">
        <f>IFERROR(+VLOOKUP(Ventas[[#This Row],[Codigo de Producto]],Productos[#All],9,FALSE),"")</f>
        <v>207</v>
      </c>
      <c r="M3894" s="57">
        <f t="shared" si="1262"/>
        <v>3194.0099999999998</v>
      </c>
      <c r="N3894" s="57">
        <f t="shared" si="1263"/>
        <v>432.03999999999996</v>
      </c>
    </row>
    <row r="3895" spans="1:14" x14ac:dyDescent="0.25">
      <c r="A3895">
        <v>132</v>
      </c>
      <c r="B3895" s="1">
        <v>44148</v>
      </c>
      <c r="C3895" s="57" t="str">
        <f>IF(Ventas[[#This Row],[Fecha ]]="","",+TEXT(B3895,"mmmm"))</f>
        <v>noviembre</v>
      </c>
      <c r="D3895" s="57" t="str">
        <f>IFERROR(+VLOOKUP(Ventas[[#This Row],[Codigo de Producto]],Productos[#All],3,FALSE),"")</f>
        <v>Azulejos</v>
      </c>
      <c r="E3895" t="s">
        <v>640</v>
      </c>
      <c r="F3895" s="57" t="str">
        <f>IFERROR(+VLOOKUP(Ventas[[#This Row],[Codigo de Producto]],Productos[#All],4,FALSE),"")</f>
        <v>Marsella Visón</v>
      </c>
      <c r="G3895">
        <v>8</v>
      </c>
      <c r="H3895">
        <v>295</v>
      </c>
      <c r="I3895" s="57">
        <f>IF(Ventas[[#This Row],[Cantidad]]="","",+Ventas[[#This Row],[Cantidad]]*Ventas[[#This Row],[Precio]])</f>
        <v>2360</v>
      </c>
      <c r="J3895" s="57" t="str">
        <f>IFERROR(+VLOOKUP(Ventas[[#This Row],[Codigo de Producto]],Productos[#All],2,FALSE),"")</f>
        <v>Dispiasa</v>
      </c>
      <c r="K3895">
        <f>IFERROR(+VLOOKUP(Ventas[[#This Row],[Codigo de Producto]],Productos[#All],9,FALSE),"")</f>
        <v>268</v>
      </c>
      <c r="M3895" s="57">
        <f t="shared" si="1262"/>
        <v>2144</v>
      </c>
      <c r="N3895" s="57">
        <f t="shared" si="1263"/>
        <v>216</v>
      </c>
    </row>
    <row r="3896" spans="1:14" x14ac:dyDescent="0.25">
      <c r="A3896">
        <v>133</v>
      </c>
      <c r="B3896" s="1">
        <v>44148</v>
      </c>
      <c r="C3896" s="57" t="str">
        <f>IF(Ventas[[#This Row],[Fecha ]]="","",+TEXT(B3896,"mmmm"))</f>
        <v>noviembre</v>
      </c>
      <c r="D3896" s="57" t="str">
        <f>IFERROR(+VLOOKUP(Ventas[[#This Row],[Codigo de Producto]],Productos[#All],3,FALSE),"")</f>
        <v>Azulejos</v>
      </c>
      <c r="E3896" t="s">
        <v>639</v>
      </c>
      <c r="F3896" s="57" t="str">
        <f>IFERROR(+VLOOKUP(Ventas[[#This Row],[Codigo de Producto]],Productos[#All],4,FALSE),"")</f>
        <v>Calpe Visón</v>
      </c>
      <c r="G3896">
        <v>2</v>
      </c>
      <c r="H3896">
        <v>295</v>
      </c>
      <c r="I3896" s="57">
        <f>IF(Ventas[[#This Row],[Cantidad]]="","",+Ventas[[#This Row],[Cantidad]]*Ventas[[#This Row],[Precio]])</f>
        <v>590</v>
      </c>
      <c r="J3896" s="57" t="str">
        <f>IFERROR(+VLOOKUP(Ventas[[#This Row],[Codigo de Producto]],Productos[#All],2,FALSE),"")</f>
        <v>Dispiasa</v>
      </c>
      <c r="K3896">
        <f>IFERROR(+VLOOKUP(Ventas[[#This Row],[Codigo de Producto]],Productos[#All],9,FALSE),"")</f>
        <v>268</v>
      </c>
      <c r="M3896" s="57">
        <f t="shared" si="1262"/>
        <v>536</v>
      </c>
      <c r="N3896" s="57">
        <f t="shared" si="1263"/>
        <v>54</v>
      </c>
    </row>
    <row r="3897" spans="1:14" x14ac:dyDescent="0.25">
      <c r="A3897">
        <v>134</v>
      </c>
      <c r="B3897" s="1">
        <v>44148</v>
      </c>
      <c r="C3897" s="57" t="str">
        <f>IF(Ventas[[#This Row],[Fecha ]]="","",+TEXT(B3897,"mmmm"))</f>
        <v>noviembre</v>
      </c>
      <c r="D3897" s="57" t="str">
        <f>IFERROR(+VLOOKUP(Ventas[[#This Row],[Codigo de Producto]],Productos[#All],3,FALSE),"")</f>
        <v>Cerámica</v>
      </c>
      <c r="E3897" t="s">
        <v>696</v>
      </c>
      <c r="F3897" s="57" t="str">
        <f>IFERROR(+VLOOKUP(Ventas[[#This Row],[Codigo de Producto]],Productos[#All],4,FALSE),"")</f>
        <v>Madera Cedro</v>
      </c>
      <c r="G3897">
        <v>27.72</v>
      </c>
      <c r="H3897">
        <v>265</v>
      </c>
      <c r="I3897" s="57">
        <f>IF(Ventas[[#This Row],[Cantidad]]="","",+Ventas[[#This Row],[Cantidad]]*Ventas[[#This Row],[Precio]])</f>
        <v>7345.7999999999993</v>
      </c>
      <c r="J3897" s="57" t="str">
        <f>IFERROR(+VLOOKUP(Ventas[[#This Row],[Codigo de Producto]],Productos[#All],2,FALSE),"")</f>
        <v>Comasa</v>
      </c>
      <c r="K3897">
        <f>IFERROR(+VLOOKUP(Ventas[[#This Row],[Codigo de Producto]],Productos[#All],9,FALSE),"")</f>
        <v>236</v>
      </c>
      <c r="M3897" s="57">
        <f t="shared" si="1262"/>
        <v>6541.92</v>
      </c>
      <c r="N3897" s="57">
        <f t="shared" si="1263"/>
        <v>803.8799999999992</v>
      </c>
    </row>
    <row r="3898" spans="1:14" x14ac:dyDescent="0.25">
      <c r="A3898">
        <v>135</v>
      </c>
      <c r="B3898" s="1">
        <v>44148</v>
      </c>
      <c r="C3898" s="57" t="str">
        <f>IF(Ventas[[#This Row],[Fecha ]]="","",+TEXT(B3898,"mmmm"))</f>
        <v>noviembre</v>
      </c>
      <c r="D3898" s="57" t="str">
        <f>IFERROR(+VLOOKUP(Ventas[[#This Row],[Codigo de Producto]],Productos[#All],3,FALSE),"")</f>
        <v>Cerámica</v>
      </c>
      <c r="E3898" t="s">
        <v>691</v>
      </c>
      <c r="F3898" s="57" t="str">
        <f>IFERROR(+VLOOKUP(Ventas[[#This Row],[Codigo de Producto]],Productos[#All],4,FALSE),"")</f>
        <v>Madera Dinizia Oscuro</v>
      </c>
      <c r="G3898">
        <v>7.65</v>
      </c>
      <c r="H3898">
        <v>240</v>
      </c>
      <c r="I3898" s="57">
        <f>IF(Ventas[[#This Row],[Cantidad]]="","",+Ventas[[#This Row],[Cantidad]]*Ventas[[#This Row],[Precio]])</f>
        <v>1836</v>
      </c>
      <c r="J3898" s="57" t="str">
        <f>IFERROR(+VLOOKUP(Ventas[[#This Row],[Codigo de Producto]],Productos[#All],2,FALSE),"")</f>
        <v>Comasa</v>
      </c>
      <c r="K3898">
        <f>IFERROR(+VLOOKUP(Ventas[[#This Row],[Codigo de Producto]],Productos[#All],9,FALSE),"")</f>
        <v>212</v>
      </c>
      <c r="M3898" s="57">
        <f t="shared" si="1262"/>
        <v>1621.8000000000002</v>
      </c>
      <c r="N3898" s="57">
        <f t="shared" si="1263"/>
        <v>214.19999999999982</v>
      </c>
    </row>
    <row r="3899" spans="1:14" x14ac:dyDescent="0.25">
      <c r="A3899">
        <v>136</v>
      </c>
      <c r="B3899" s="1">
        <v>44148</v>
      </c>
      <c r="C3899" s="57" t="str">
        <f>IF(Ventas[[#This Row],[Fecha ]]="","",+TEXT(B3899,"mmmm"))</f>
        <v>noviembre</v>
      </c>
      <c r="D3899" s="57" t="str">
        <f>IFERROR(+VLOOKUP(Ventas[[#This Row],[Codigo de Producto]],Productos[#All],3,FALSE),"")</f>
        <v>Bond</v>
      </c>
      <c r="E3899" t="s">
        <v>704</v>
      </c>
      <c r="F3899" s="57" t="str">
        <f>IFERROR(+VLOOKUP(Ventas[[#This Row],[Codigo de Producto]],Productos[#All],4,FALSE),"")</f>
        <v>Drytec Bond Plus</v>
      </c>
      <c r="G3899">
        <v>12</v>
      </c>
      <c r="H3899">
        <v>155</v>
      </c>
      <c r="I3899" s="57">
        <f>IF(Ventas[[#This Row],[Cantidad]]="","",+Ventas[[#This Row],[Cantidad]]*Ventas[[#This Row],[Precio]])</f>
        <v>1860</v>
      </c>
      <c r="J3899" s="57" t="str">
        <f>IFERROR(+VLOOKUP(Ventas[[#This Row],[Codigo de Producto]],Productos[#All],2,FALSE),"")</f>
        <v>Comasa</v>
      </c>
      <c r="K3899">
        <f>IFERROR(+VLOOKUP(Ventas[[#This Row],[Codigo de Producto]],Productos[#All],9,FALSE),"")</f>
        <v>127</v>
      </c>
      <c r="M3899" s="57">
        <f t="shared" si="1262"/>
        <v>1524</v>
      </c>
      <c r="N3899" s="57">
        <f t="shared" si="1263"/>
        <v>336</v>
      </c>
    </row>
    <row r="3900" spans="1:14" x14ac:dyDescent="0.25">
      <c r="A3900">
        <v>137</v>
      </c>
      <c r="B3900" s="1">
        <v>44148</v>
      </c>
      <c r="C3900" s="57" t="str">
        <f>IF(Ventas[[#This Row],[Fecha ]]="","",+TEXT(B3900,"mmmm"))</f>
        <v>noviembre</v>
      </c>
      <c r="D3900" s="57" t="str">
        <f>IFERROR(+VLOOKUP(Ventas[[#This Row],[Codigo de Producto]],Productos[#All],3,FALSE),"")</f>
        <v>Separadores</v>
      </c>
      <c r="E3900" t="s">
        <v>721</v>
      </c>
      <c r="F3900" s="57" t="str">
        <f>IFERROR(+VLOOKUP(Ventas[[#This Row],[Codigo de Producto]],Productos[#All],4,FALSE),"")</f>
        <v>Separadores de 4 mm</v>
      </c>
      <c r="G3900">
        <v>1</v>
      </c>
      <c r="H3900">
        <v>35</v>
      </c>
      <c r="I3900" s="57">
        <f>IF(Ventas[[#This Row],[Cantidad]]="","",+Ventas[[#This Row],[Cantidad]]*Ventas[[#This Row],[Precio]])</f>
        <v>35</v>
      </c>
      <c r="J3900" s="57" t="str">
        <f>IFERROR(+VLOOKUP(Ventas[[#This Row],[Codigo de Producto]],Productos[#All],2,FALSE),"")</f>
        <v>Silco</v>
      </c>
      <c r="K3900">
        <f>IFERROR(+VLOOKUP(Ventas[[#This Row],[Codigo de Producto]],Productos[#All],9,FALSE),"")</f>
        <v>22</v>
      </c>
      <c r="M3900" s="57">
        <f t="shared" si="1262"/>
        <v>22</v>
      </c>
      <c r="N3900" s="57">
        <f t="shared" si="1263"/>
        <v>13</v>
      </c>
    </row>
    <row r="3901" spans="1:14" x14ac:dyDescent="0.25">
      <c r="A3901">
        <v>138</v>
      </c>
      <c r="B3901" s="1">
        <v>44148</v>
      </c>
      <c r="C3901" s="57" t="str">
        <f>IF(Ventas[[#This Row],[Fecha ]]="","",+TEXT(B3901,"mmmm"))</f>
        <v>noviembre</v>
      </c>
      <c r="D3901" s="57" t="str">
        <f>IFERROR(+VLOOKUP(Ventas[[#This Row],[Codigo de Producto]],Productos[#All],3,FALSE),"")</f>
        <v>Plasterbond</v>
      </c>
      <c r="E3901" t="s">
        <v>713</v>
      </c>
      <c r="F3901" s="57" t="str">
        <f>IFERROR(+VLOOKUP(Ventas[[#This Row],[Codigo de Producto]],Productos[#All],4,FALSE),"")</f>
        <v>Plasterbond Klebe</v>
      </c>
      <c r="G3901">
        <v>6.4</v>
      </c>
      <c r="H3901">
        <v>100</v>
      </c>
      <c r="I3901" s="57">
        <f>IF(Ventas[[#This Row],[Cantidad]]="","",+Ventas[[#This Row],[Cantidad]]*Ventas[[#This Row],[Precio]])</f>
        <v>640</v>
      </c>
      <c r="J3901" s="57" t="str">
        <f>IFERROR(+VLOOKUP(Ventas[[#This Row],[Codigo de Producto]],Productos[#All],2,FALSE),"")</f>
        <v>Aginsa</v>
      </c>
      <c r="K3901">
        <f>IFERROR(+VLOOKUP(Ventas[[#This Row],[Codigo de Producto]],Productos[#All],9,FALSE),"")</f>
        <v>80</v>
      </c>
      <c r="M3901" s="57">
        <f t="shared" si="1262"/>
        <v>512</v>
      </c>
      <c r="N3901" s="57">
        <f t="shared" si="1263"/>
        <v>128</v>
      </c>
    </row>
    <row r="3902" spans="1:14" x14ac:dyDescent="0.25">
      <c r="A3902">
        <v>139</v>
      </c>
      <c r="B3902" s="1">
        <v>44148</v>
      </c>
      <c r="C3902" s="57" t="str">
        <f>IF(Ventas[[#This Row],[Fecha ]]="","",+TEXT(B3902,"mmmm"))</f>
        <v>noviembre</v>
      </c>
      <c r="D3902" s="57" t="str">
        <f>IFERROR(+VLOOKUP(Ventas[[#This Row],[Codigo de Producto]],Productos[#All],3,FALSE),"")</f>
        <v>Porcelana</v>
      </c>
      <c r="E3902" s="57" t="s">
        <v>727</v>
      </c>
      <c r="F3902" s="57" t="str">
        <f>IFERROR(+VLOOKUP(Ventas[[#This Row],[Codigo de Producto]],Productos[#All],4,FALSE),"")</f>
        <v>Naranja 3k</v>
      </c>
      <c r="G3902">
        <v>2</v>
      </c>
      <c r="H3902">
        <v>100</v>
      </c>
      <c r="I3902" s="57">
        <f>IF(Ventas[[#This Row],[Cantidad]]="","",+Ventas[[#This Row],[Cantidad]]*Ventas[[#This Row],[Precio]])</f>
        <v>200</v>
      </c>
      <c r="J3902" s="57" t="str">
        <f>IFERROR(+VLOOKUP(Ventas[[#This Row],[Codigo de Producto]],Productos[#All],2,FALSE),"")</f>
        <v>Comasa</v>
      </c>
      <c r="K3902">
        <f>IFERROR(+VLOOKUP(Ventas[[#This Row],[Codigo de Producto]],Productos[#All],9,FALSE),"")</f>
        <v>80</v>
      </c>
      <c r="M3902" s="57">
        <f t="shared" si="1262"/>
        <v>160</v>
      </c>
      <c r="N3902" s="57">
        <f t="shared" si="1263"/>
        <v>40</v>
      </c>
    </row>
    <row r="3903" spans="1:14" x14ac:dyDescent="0.25">
      <c r="A3903">
        <v>140</v>
      </c>
      <c r="B3903" s="1">
        <v>44148</v>
      </c>
      <c r="C3903" s="57" t="str">
        <f>IF(Ventas[[#This Row],[Fecha ]]="","",+TEXT(B3903,"mmmm"))</f>
        <v>noviembre</v>
      </c>
      <c r="D3903" s="57" t="str">
        <f>IFERROR(+VLOOKUP(Ventas[[#This Row],[Codigo de Producto]],Productos[#All],3,FALSE),"")</f>
        <v>Porcelana</v>
      </c>
      <c r="E3903" s="57" t="s">
        <v>708</v>
      </c>
      <c r="F3903" s="57" t="str">
        <f>IFERROR(+VLOOKUP(Ventas[[#This Row],[Codigo de Producto]],Productos[#All],4,FALSE),"")</f>
        <v xml:space="preserve">Porcelana Maya </v>
      </c>
      <c r="G3903">
        <v>2</v>
      </c>
      <c r="H3903">
        <v>60</v>
      </c>
      <c r="I3903" s="57">
        <f>IF(Ventas[[#This Row],[Cantidad]]="","",+Ventas[[#This Row],[Cantidad]]*Ventas[[#This Row],[Precio]])</f>
        <v>120</v>
      </c>
      <c r="J3903" s="57" t="str">
        <f>IFERROR(+VLOOKUP(Ventas[[#This Row],[Codigo de Producto]],Productos[#All],2,FALSE),"")</f>
        <v>Martinez</v>
      </c>
      <c r="K3903">
        <f>IFERROR(+VLOOKUP(Ventas[[#This Row],[Codigo de Producto]],Productos[#All],9,FALSE),"")</f>
        <v>33.333333333333336</v>
      </c>
      <c r="M3903" s="57">
        <f t="shared" si="1262"/>
        <v>66.666666666666671</v>
      </c>
      <c r="N3903" s="57">
        <f t="shared" si="1263"/>
        <v>53.333333333333329</v>
      </c>
    </row>
    <row r="3904" spans="1:14" x14ac:dyDescent="0.25">
      <c r="A3904">
        <v>141</v>
      </c>
      <c r="B3904" s="1">
        <v>44148</v>
      </c>
      <c r="C3904" s="57" t="str">
        <f>IF(Ventas[[#This Row],[Fecha ]]="","",+TEXT(B3904,"mmmm"))</f>
        <v>noviembre</v>
      </c>
      <c r="D3904" s="57" t="str">
        <f>IFERROR(+VLOOKUP(Ventas[[#This Row],[Codigo de Producto]],Productos[#All],3,FALSE),"")</f>
        <v>Porcelana</v>
      </c>
      <c r="E3904" t="s">
        <v>708</v>
      </c>
      <c r="F3904" s="57" t="str">
        <f>IFERROR(+VLOOKUP(Ventas[[#This Row],[Codigo de Producto]],Productos[#All],4,FALSE),"")</f>
        <v xml:space="preserve">Porcelana Maya </v>
      </c>
      <c r="G3904">
        <v>2</v>
      </c>
      <c r="H3904">
        <v>60</v>
      </c>
      <c r="I3904" s="57">
        <f>IF(Ventas[[#This Row],[Cantidad]]="","",+Ventas[[#This Row],[Cantidad]]*Ventas[[#This Row],[Precio]])</f>
        <v>120</v>
      </c>
      <c r="J3904" s="57" t="str">
        <f>IFERROR(+VLOOKUP(Ventas[[#This Row],[Codigo de Producto]],Productos[#All],2,FALSE),"")</f>
        <v>Martinez</v>
      </c>
      <c r="K3904">
        <f>IFERROR(+VLOOKUP(Ventas[[#This Row],[Codigo de Producto]],Productos[#All],9,FALSE),"")</f>
        <v>33.333333333333336</v>
      </c>
      <c r="M3904" s="57">
        <f t="shared" si="1262"/>
        <v>66.666666666666671</v>
      </c>
      <c r="N3904" s="57">
        <f t="shared" si="1263"/>
        <v>53.333333333333329</v>
      </c>
    </row>
    <row r="3905" spans="1:14" x14ac:dyDescent="0.25">
      <c r="A3905">
        <v>142</v>
      </c>
      <c r="B3905" s="1">
        <v>44148</v>
      </c>
      <c r="C3905" s="57" t="str">
        <f>IF(Ventas[[#This Row],[Fecha ]]="","",+TEXT(B3905,"mmmm"))</f>
        <v>noviembre</v>
      </c>
      <c r="D3905" s="57" t="str">
        <f>IFERROR(+VLOOKUP(Ventas[[#This Row],[Codigo de Producto]],Productos[#All],3,FALSE),"")</f>
        <v>Cerámica</v>
      </c>
      <c r="E3905" t="s">
        <v>660</v>
      </c>
      <c r="F3905" s="57" t="str">
        <f>IFERROR(+VLOOKUP(Ventas[[#This Row],[Codigo de Producto]],Productos[#All],4,FALSE),"")</f>
        <v>Mosaico Azul</v>
      </c>
      <c r="G3905">
        <v>1.5</v>
      </c>
      <c r="H3905">
        <v>300</v>
      </c>
      <c r="I3905" s="57">
        <f>IF(Ventas[[#This Row],[Cantidad]]="","",+Ventas[[#This Row],[Cantidad]]*Ventas[[#This Row],[Precio]])</f>
        <v>450</v>
      </c>
      <c r="J3905" s="57" t="str">
        <f>IFERROR(+VLOOKUP(Ventas[[#This Row],[Codigo de Producto]],Productos[#All],2,FALSE),"")</f>
        <v>Dispiasa</v>
      </c>
      <c r="K3905">
        <f>IFERROR(+VLOOKUP(Ventas[[#This Row],[Codigo de Producto]],Productos[#All],9,FALSE),"")</f>
        <v>268</v>
      </c>
      <c r="M3905" s="57">
        <f t="shared" si="1262"/>
        <v>402</v>
      </c>
      <c r="N3905" s="57">
        <f t="shared" si="1263"/>
        <v>48</v>
      </c>
    </row>
    <row r="3906" spans="1:14" x14ac:dyDescent="0.25">
      <c r="A3906">
        <v>143</v>
      </c>
      <c r="B3906" s="1">
        <v>44149</v>
      </c>
      <c r="C3906" s="57" t="str">
        <f>IF(Ventas[[#This Row],[Fecha ]]="","",+TEXT(B3906,"mmmm"))</f>
        <v>noviembre</v>
      </c>
      <c r="D3906" s="57" t="str">
        <f>IFERROR(+VLOOKUP(Ventas[[#This Row],[Codigo de Producto]],Productos[#All],3,FALSE),"")</f>
        <v>Repello</v>
      </c>
      <c r="E3906" t="s">
        <v>728</v>
      </c>
      <c r="F3906" s="57" t="str">
        <f>IFERROR(+VLOOKUP(Ventas[[#This Row],[Codigo de Producto]],Productos[#All],4,FALSE),"")</f>
        <v>Repello Fino Drytec</v>
      </c>
      <c r="G3906">
        <v>2</v>
      </c>
      <c r="H3906">
        <v>250</v>
      </c>
      <c r="I3906" s="57">
        <f>IF(Ventas[[#This Row],[Cantidad]]="","",+Ventas[[#This Row],[Cantidad]]*Ventas[[#This Row],[Precio]])</f>
        <v>500</v>
      </c>
      <c r="J3906" s="57" t="str">
        <f>IFERROR(+VLOOKUP(Ventas[[#This Row],[Codigo de Producto]],Productos[#All],2,FALSE),"")</f>
        <v>Comasa</v>
      </c>
      <c r="K3906">
        <f ca="1">IFERROR(+VLOOKUP(Ventas[[#This Row],[Codigo de Producto]],Productos[#All],9,FALSE),"")</f>
        <v>236</v>
      </c>
      <c r="M3906" s="57">
        <f t="shared" ref="M3906:M3907" ca="1" si="1264">+IF(K3906=0,(""),(K3906*G3906))</f>
        <v>472</v>
      </c>
      <c r="N3906" s="57">
        <f t="shared" ref="N3906:N3907" ca="1" si="1265">+IF(K3906=0,(""),(I3906-M3906))</f>
        <v>28</v>
      </c>
    </row>
    <row r="3907" spans="1:14" x14ac:dyDescent="0.25">
      <c r="A3907">
        <v>144</v>
      </c>
      <c r="B3907" s="1">
        <v>44149</v>
      </c>
      <c r="C3907" s="57" t="str">
        <f>IF(Ventas[[#This Row],[Fecha ]]="","",+TEXT(B3907,"mmmm"))</f>
        <v>noviembre</v>
      </c>
      <c r="D3907" s="57" t="str">
        <f>IFERROR(+VLOOKUP(Ventas[[#This Row],[Codigo de Producto]],Productos[#All],3,FALSE),"")</f>
        <v>Bond</v>
      </c>
      <c r="E3907" t="s">
        <v>704</v>
      </c>
      <c r="F3907" s="57" t="str">
        <f>IFERROR(+VLOOKUP(Ventas[[#This Row],[Codigo de Producto]],Productos[#All],4,FALSE),"")</f>
        <v>Drytec Bond Plus</v>
      </c>
      <c r="G3907">
        <v>5</v>
      </c>
      <c r="H3907">
        <v>170</v>
      </c>
      <c r="I3907" s="57">
        <f>IF(Ventas[[#This Row],[Cantidad]]="","",+Ventas[[#This Row],[Cantidad]]*Ventas[[#This Row],[Precio]])</f>
        <v>850</v>
      </c>
      <c r="J3907" s="57" t="str">
        <f>IFERROR(+VLOOKUP(Ventas[[#This Row],[Codigo de Producto]],Productos[#All],2,FALSE),"")</f>
        <v>Comasa</v>
      </c>
      <c r="K3907">
        <f>IFERROR(+VLOOKUP(Ventas[[#This Row],[Codigo de Producto]],Productos[#All],9,FALSE),"")</f>
        <v>127</v>
      </c>
      <c r="M3907" s="57">
        <f t="shared" si="1264"/>
        <v>635</v>
      </c>
      <c r="N3907" s="57">
        <f t="shared" si="1265"/>
        <v>215</v>
      </c>
    </row>
    <row r="3908" spans="1:14" x14ac:dyDescent="0.25">
      <c r="A3908">
        <v>145</v>
      </c>
      <c r="B3908" s="1">
        <v>44149</v>
      </c>
      <c r="C3908" s="57" t="str">
        <f>IF(Ventas[[#This Row],[Fecha ]]="","",+TEXT(B3908,"mmmm"))</f>
        <v>noviembre</v>
      </c>
      <c r="D3908" s="57" t="str">
        <f>IFERROR(+VLOOKUP(Ventas[[#This Row],[Codigo de Producto]],Productos[#All],3,FALSE),"")</f>
        <v>Iluminación</v>
      </c>
      <c r="E3908" t="s">
        <v>730</v>
      </c>
      <c r="F3908" s="57" t="str">
        <f>IFERROR(+VLOOKUP(Ventas[[#This Row],[Codigo de Producto]],Productos[#All],4,FALSE),"")</f>
        <v>Lámpara Led 12w</v>
      </c>
      <c r="G3908">
        <v>4</v>
      </c>
      <c r="H3908">
        <v>170</v>
      </c>
      <c r="I3908" s="57">
        <f>IF(Ventas[[#This Row],[Cantidad]]="","",+Ventas[[#This Row],[Cantidad]]*Ventas[[#This Row],[Precio]])</f>
        <v>680</v>
      </c>
      <c r="J3908" s="57" t="str">
        <f>IFERROR(+VLOOKUP(Ventas[[#This Row],[Codigo de Producto]],Productos[#All],2,FALSE),"")</f>
        <v>Invercopa</v>
      </c>
      <c r="K3908">
        <f>IFERROR(+VLOOKUP(Ventas[[#This Row],[Codigo de Producto]],Productos[#All],9,FALSE),"")</f>
        <v>110</v>
      </c>
      <c r="M3908" s="57">
        <f t="shared" ref="M3908:M3925" si="1266">+IF(K3908=0,(""),(K3908*G3908))</f>
        <v>440</v>
      </c>
      <c r="N3908" s="57">
        <f t="shared" ref="N3908:N3925" si="1267">+IF(K3908=0,(""),(I3908-M3908))</f>
        <v>240</v>
      </c>
    </row>
    <row r="3909" spans="1:14" x14ac:dyDescent="0.25">
      <c r="A3909">
        <v>146</v>
      </c>
      <c r="B3909" s="1">
        <v>44149</v>
      </c>
      <c r="C3909" s="57" t="str">
        <f>IF(Ventas[[#This Row],[Fecha ]]="","",+TEXT(B3909,"mmmm"))</f>
        <v>noviembre</v>
      </c>
      <c r="D3909" s="57" t="str">
        <f>IFERROR(+VLOOKUP(Ventas[[#This Row],[Codigo de Producto]],Productos[#All],3,FALSE),"")</f>
        <v>Porcelana</v>
      </c>
      <c r="E3909" t="s">
        <v>708</v>
      </c>
      <c r="F3909" s="57" t="str">
        <f>IFERROR(+VLOOKUP(Ventas[[#This Row],[Codigo de Producto]],Productos[#All],4,FALSE),"")</f>
        <v xml:space="preserve">Porcelana Maya </v>
      </c>
      <c r="G3909">
        <v>2</v>
      </c>
      <c r="H3909">
        <v>60</v>
      </c>
      <c r="I3909" s="57">
        <f>IF(Ventas[[#This Row],[Cantidad]]="","",+Ventas[[#This Row],[Cantidad]]*Ventas[[#This Row],[Precio]])</f>
        <v>120</v>
      </c>
      <c r="J3909" s="57" t="str">
        <f>IFERROR(+VLOOKUP(Ventas[[#This Row],[Codigo de Producto]],Productos[#All],2,FALSE),"")</f>
        <v>Martinez</v>
      </c>
      <c r="K3909">
        <f>IFERROR(+VLOOKUP(Ventas[[#This Row],[Codigo de Producto]],Productos[#All],9,FALSE),"")</f>
        <v>33.333333333333336</v>
      </c>
      <c r="M3909" s="57">
        <f t="shared" si="1266"/>
        <v>66.666666666666671</v>
      </c>
      <c r="N3909" s="57">
        <f t="shared" si="1267"/>
        <v>53.333333333333329</v>
      </c>
    </row>
    <row r="3910" spans="1:14" x14ac:dyDescent="0.25">
      <c r="A3910">
        <v>147</v>
      </c>
      <c r="B3910" s="1">
        <v>44149</v>
      </c>
      <c r="C3910" s="57" t="str">
        <f>IF(Ventas[[#This Row],[Fecha ]]="","",+TEXT(B3910,"mmmm"))</f>
        <v>noviembre</v>
      </c>
      <c r="D3910" s="57" t="str">
        <f>IFERROR(+VLOOKUP(Ventas[[#This Row],[Codigo de Producto]],Productos[#All],3,FALSE),"")</f>
        <v>Porcelana</v>
      </c>
      <c r="E3910" t="s">
        <v>708</v>
      </c>
      <c r="F3910" s="57" t="str">
        <f>IFERROR(+VLOOKUP(Ventas[[#This Row],[Codigo de Producto]],Productos[#All],4,FALSE),"")</f>
        <v xml:space="preserve">Porcelana Maya </v>
      </c>
      <c r="G3910">
        <v>2</v>
      </c>
      <c r="H3910">
        <v>60</v>
      </c>
      <c r="I3910" s="57">
        <f>IF(Ventas[[#This Row],[Cantidad]]="","",+Ventas[[#This Row],[Cantidad]]*Ventas[[#This Row],[Precio]])</f>
        <v>120</v>
      </c>
      <c r="J3910" s="57" t="str">
        <f>IFERROR(+VLOOKUP(Ventas[[#This Row],[Codigo de Producto]],Productos[#All],2,FALSE),"")</f>
        <v>Martinez</v>
      </c>
      <c r="K3910">
        <f>IFERROR(+VLOOKUP(Ventas[[#This Row],[Codigo de Producto]],Productos[#All],9,FALSE),"")</f>
        <v>33.333333333333336</v>
      </c>
      <c r="M3910" s="57">
        <f t="shared" si="1266"/>
        <v>66.666666666666671</v>
      </c>
      <c r="N3910" s="57">
        <f t="shared" si="1267"/>
        <v>53.333333333333329</v>
      </c>
    </row>
    <row r="3911" spans="1:14" x14ac:dyDescent="0.25">
      <c r="A3911">
        <v>148</v>
      </c>
      <c r="B3911" s="1">
        <v>44149</v>
      </c>
      <c r="C3911" s="57" t="str">
        <f>IF(Ventas[[#This Row],[Fecha ]]="","",+TEXT(B3911,"mmmm"))</f>
        <v>noviembre</v>
      </c>
      <c r="D3911" s="57" t="str">
        <f>IFERROR(+VLOOKUP(Ventas[[#This Row],[Codigo de Producto]],Productos[#All],3,FALSE),"")</f>
        <v>Cerámica</v>
      </c>
      <c r="E3911" t="s">
        <v>731</v>
      </c>
      <c r="F3911" s="57" t="str">
        <f>IFERROR(+VLOOKUP(Ventas[[#This Row],[Codigo de Producto]],Productos[#All],4,FALSE),"")</f>
        <v>Sorrento Marrón Liso</v>
      </c>
      <c r="G3911">
        <v>20</v>
      </c>
      <c r="H3911">
        <v>295</v>
      </c>
      <c r="I3911" s="57">
        <f>IF(Ventas[[#This Row],[Cantidad]]="","",+Ventas[[#This Row],[Cantidad]]*Ventas[[#This Row],[Precio]])</f>
        <v>5900</v>
      </c>
      <c r="J3911" s="57" t="str">
        <f>IFERROR(+VLOOKUP(Ventas[[#This Row],[Codigo de Producto]],Productos[#All],2,FALSE),"")</f>
        <v>Dispiasa</v>
      </c>
      <c r="K3911">
        <f>IFERROR(+VLOOKUP(Ventas[[#This Row],[Codigo de Producto]],Productos[#All],9,FALSE),"")</f>
        <v>268</v>
      </c>
      <c r="M3911" s="57">
        <f t="shared" si="1266"/>
        <v>5360</v>
      </c>
      <c r="N3911" s="57">
        <f t="shared" si="1267"/>
        <v>540</v>
      </c>
    </row>
    <row r="3912" spans="1:14" x14ac:dyDescent="0.25">
      <c r="A3912">
        <v>149</v>
      </c>
      <c r="B3912" s="1">
        <v>44149</v>
      </c>
      <c r="C3912" s="57" t="str">
        <f>IF(Ventas[[#This Row],[Fecha ]]="","",+TEXT(B3912,"mmmm"))</f>
        <v>noviembre</v>
      </c>
      <c r="D3912" s="57" t="str">
        <f>IFERROR(+VLOOKUP(Ventas[[#This Row],[Codigo de Producto]],Productos[#All],3,FALSE),"")</f>
        <v>Cerámica</v>
      </c>
      <c r="E3912" t="s">
        <v>677</v>
      </c>
      <c r="F3912" s="57" t="str">
        <f>IFERROR(+VLOOKUP(Ventas[[#This Row],[Codigo de Producto]],Productos[#All],4,FALSE),"")</f>
        <v>Madera Abedul</v>
      </c>
      <c r="G3912">
        <v>6</v>
      </c>
      <c r="H3912">
        <v>290</v>
      </c>
      <c r="I3912" s="57">
        <f>IF(Ventas[[#This Row],[Cantidad]]="","",+Ventas[[#This Row],[Cantidad]]*Ventas[[#This Row],[Precio]])</f>
        <v>1740</v>
      </c>
      <c r="J3912" s="57" t="str">
        <f>IFERROR(+VLOOKUP(Ventas[[#This Row],[Codigo de Producto]],Productos[#All],2,FALSE),"")</f>
        <v>Comasa</v>
      </c>
      <c r="K3912">
        <f>IFERROR(+VLOOKUP(Ventas[[#This Row],[Codigo de Producto]],Productos[#All],9,FALSE),"")</f>
        <v>182</v>
      </c>
      <c r="M3912" s="57">
        <f t="shared" si="1266"/>
        <v>1092</v>
      </c>
      <c r="N3912" s="57">
        <f t="shared" si="1267"/>
        <v>648</v>
      </c>
    </row>
    <row r="3913" spans="1:14" x14ac:dyDescent="0.25">
      <c r="A3913">
        <v>150</v>
      </c>
      <c r="B3913" s="1">
        <v>44149</v>
      </c>
      <c r="C3913" s="57" t="str">
        <f>IF(Ventas[[#This Row],[Fecha ]]="","",+TEXT(B3913,"mmmm"))</f>
        <v>noviembre</v>
      </c>
      <c r="D3913" s="57" t="str">
        <f>IFERROR(+VLOOKUP(Ventas[[#This Row],[Codigo de Producto]],Productos[#All],3,FALSE),"")</f>
        <v>Cerámica</v>
      </c>
      <c r="E3913" t="s">
        <v>691</v>
      </c>
      <c r="F3913" s="57" t="str">
        <f>IFERROR(+VLOOKUP(Ventas[[#This Row],[Codigo de Producto]],Productos[#All],4,FALSE),"")</f>
        <v>Madera Dinizia Oscuro</v>
      </c>
      <c r="G3913">
        <v>35</v>
      </c>
      <c r="H3913">
        <v>240</v>
      </c>
      <c r="I3913" s="57">
        <f>IF(Ventas[[#This Row],[Cantidad]]="","",+Ventas[[#This Row],[Cantidad]]*Ventas[[#This Row],[Precio]])</f>
        <v>8400</v>
      </c>
      <c r="J3913" s="57" t="str">
        <f>IFERROR(+VLOOKUP(Ventas[[#This Row],[Codigo de Producto]],Productos[#All],2,FALSE),"")</f>
        <v>Comasa</v>
      </c>
      <c r="K3913">
        <f>IFERROR(+VLOOKUP(Ventas[[#This Row],[Codigo de Producto]],Productos[#All],9,FALSE),"")</f>
        <v>212</v>
      </c>
      <c r="M3913" s="57">
        <f t="shared" si="1266"/>
        <v>7420</v>
      </c>
      <c r="N3913" s="57">
        <f t="shared" si="1267"/>
        <v>980</v>
      </c>
    </row>
    <row r="3914" spans="1:14" x14ac:dyDescent="0.25">
      <c r="A3914">
        <v>151</v>
      </c>
      <c r="B3914" s="1">
        <v>44149</v>
      </c>
      <c r="C3914" s="57" t="str">
        <f>IF(Ventas[[#This Row],[Fecha ]]="","",+TEXT(B3914,"mmmm"))</f>
        <v>noviembre</v>
      </c>
      <c r="D3914" s="57" t="str">
        <f>IFERROR(+VLOOKUP(Ventas[[#This Row],[Codigo de Producto]],Productos[#All],3,FALSE),"")</f>
        <v>Cerámica</v>
      </c>
      <c r="E3914" t="s">
        <v>625</v>
      </c>
      <c r="F3914" s="57" t="str">
        <f>IFERROR(+VLOOKUP(Ventas[[#This Row],[Codigo de Producto]],Productos[#All],4,FALSE),"")</f>
        <v>Florencia Beige</v>
      </c>
      <c r="G3914">
        <v>3.5</v>
      </c>
      <c r="H3914">
        <v>300</v>
      </c>
      <c r="I3914" s="57">
        <f>IF(Ventas[[#This Row],[Cantidad]]="","",+Ventas[[#This Row],[Cantidad]]*Ventas[[#This Row],[Precio]])</f>
        <v>1050</v>
      </c>
      <c r="J3914" s="57" t="str">
        <f>IFERROR(+VLOOKUP(Ventas[[#This Row],[Codigo de Producto]],Productos[#All],2,FALSE),"")</f>
        <v>Dispiasa</v>
      </c>
      <c r="K3914">
        <f>IFERROR(+VLOOKUP(Ventas[[#This Row],[Codigo de Producto]],Productos[#All],9,FALSE),"")</f>
        <v>268</v>
      </c>
      <c r="M3914" s="57">
        <f t="shared" si="1266"/>
        <v>938</v>
      </c>
      <c r="N3914" s="57">
        <f t="shared" si="1267"/>
        <v>112</v>
      </c>
    </row>
    <row r="3915" spans="1:14" x14ac:dyDescent="0.25">
      <c r="A3915">
        <v>152</v>
      </c>
      <c r="B3915" s="1">
        <v>44149</v>
      </c>
      <c r="C3915" s="57" t="str">
        <f>IF(Ventas[[#This Row],[Fecha ]]="","",+TEXT(B3915,"mmmm"))</f>
        <v>noviembre</v>
      </c>
      <c r="D3915" s="57" t="str">
        <f>IFERROR(+VLOOKUP(Ventas[[#This Row],[Codigo de Producto]],Productos[#All],3,FALSE),"")</f>
        <v>Cerámica</v>
      </c>
      <c r="E3915" t="s">
        <v>680</v>
      </c>
      <c r="F3915" s="57" t="str">
        <f>IFERROR(+VLOOKUP(Ventas[[#This Row],[Codigo de Producto]],Productos[#All],4,FALSE),"")</f>
        <v>Sunset Beige</v>
      </c>
      <c r="G3915">
        <v>1.5</v>
      </c>
      <c r="H3915">
        <v>280</v>
      </c>
      <c r="I3915" s="57">
        <f>IF(Ventas[[#This Row],[Cantidad]]="","",+Ventas[[#This Row],[Cantidad]]*Ventas[[#This Row],[Precio]])</f>
        <v>420</v>
      </c>
      <c r="J3915" s="57" t="str">
        <f>IFERROR(+VLOOKUP(Ventas[[#This Row],[Codigo de Producto]],Productos[#All],2,FALSE),"")</f>
        <v>Comasa</v>
      </c>
      <c r="K3915">
        <f>IFERROR(+VLOOKUP(Ventas[[#This Row],[Codigo de Producto]],Productos[#All],9,FALSE),"")</f>
        <v>248</v>
      </c>
      <c r="M3915" s="57">
        <f t="shared" si="1266"/>
        <v>372</v>
      </c>
      <c r="N3915" s="57">
        <f t="shared" si="1267"/>
        <v>48</v>
      </c>
    </row>
    <row r="3916" spans="1:14" x14ac:dyDescent="0.25">
      <c r="A3916">
        <v>153</v>
      </c>
      <c r="B3916" s="1">
        <v>44149</v>
      </c>
      <c r="C3916" s="57" t="str">
        <f>IF(Ventas[[#This Row],[Fecha ]]="","",+TEXT(B3916,"mmmm"))</f>
        <v>noviembre</v>
      </c>
      <c r="D3916" s="57" t="str">
        <f>IFERROR(+VLOOKUP(Ventas[[#This Row],[Codigo de Producto]],Productos[#All],3,FALSE),"")</f>
        <v>Bond</v>
      </c>
      <c r="E3916" t="s">
        <v>704</v>
      </c>
      <c r="F3916" s="57" t="str">
        <f>IFERROR(+VLOOKUP(Ventas[[#This Row],[Codigo de Producto]],Productos[#All],4,FALSE),"")</f>
        <v>Drytec Bond Plus</v>
      </c>
      <c r="G3916">
        <v>10</v>
      </c>
      <c r="H3916">
        <v>155</v>
      </c>
      <c r="I3916" s="57">
        <f>IF(Ventas[[#This Row],[Cantidad]]="","",+Ventas[[#This Row],[Cantidad]]*Ventas[[#This Row],[Precio]])</f>
        <v>1550</v>
      </c>
      <c r="J3916" s="57" t="str">
        <f>IFERROR(+VLOOKUP(Ventas[[#This Row],[Codigo de Producto]],Productos[#All],2,FALSE),"")</f>
        <v>Comasa</v>
      </c>
      <c r="K3916">
        <f>IFERROR(+VLOOKUP(Ventas[[#This Row],[Codigo de Producto]],Productos[#All],9,FALSE),"")</f>
        <v>127</v>
      </c>
      <c r="M3916" s="57">
        <f t="shared" si="1266"/>
        <v>1270</v>
      </c>
      <c r="N3916" s="57">
        <f t="shared" si="1267"/>
        <v>280</v>
      </c>
    </row>
    <row r="3917" spans="1:14" x14ac:dyDescent="0.25">
      <c r="A3917">
        <v>154</v>
      </c>
      <c r="B3917" s="1">
        <v>44149</v>
      </c>
      <c r="C3917" s="57" t="str">
        <f>IF(Ventas[[#This Row],[Fecha ]]="","",+TEXT(B3917,"mmmm"))</f>
        <v>noviembre</v>
      </c>
      <c r="D3917" s="57" t="str">
        <f>IFERROR(+VLOOKUP(Ventas[[#This Row],[Codigo de Producto]],Productos[#All],3,FALSE),"")</f>
        <v>Porcelana</v>
      </c>
      <c r="E3917" t="s">
        <v>708</v>
      </c>
      <c r="F3917" s="57" t="str">
        <f>IFERROR(+VLOOKUP(Ventas[[#This Row],[Codigo de Producto]],Productos[#All],4,FALSE),"")</f>
        <v xml:space="preserve">Porcelana Maya </v>
      </c>
      <c r="G3917">
        <v>4</v>
      </c>
      <c r="H3917">
        <v>60</v>
      </c>
      <c r="I3917" s="57">
        <f>IF(Ventas[[#This Row],[Cantidad]]="","",+Ventas[[#This Row],[Cantidad]]*Ventas[[#This Row],[Precio]])</f>
        <v>240</v>
      </c>
      <c r="J3917" s="57" t="str">
        <f>IFERROR(+VLOOKUP(Ventas[[#This Row],[Codigo de Producto]],Productos[#All],2,FALSE),"")</f>
        <v>Martinez</v>
      </c>
      <c r="K3917">
        <f>IFERROR(+VLOOKUP(Ventas[[#This Row],[Codigo de Producto]],Productos[#All],9,FALSE),"")</f>
        <v>33.333333333333336</v>
      </c>
      <c r="M3917" s="57">
        <f t="shared" si="1266"/>
        <v>133.33333333333334</v>
      </c>
      <c r="N3917" s="57">
        <f t="shared" si="1267"/>
        <v>106.66666666666666</v>
      </c>
    </row>
    <row r="3918" spans="1:14" x14ac:dyDescent="0.25">
      <c r="A3918">
        <v>155</v>
      </c>
      <c r="B3918" s="1">
        <v>44149</v>
      </c>
      <c r="C3918" s="57" t="str">
        <f>IF(Ventas[[#This Row],[Fecha ]]="","",+TEXT(B3918,"mmmm"))</f>
        <v>noviembre</v>
      </c>
      <c r="D3918" s="57" t="str">
        <f>IFERROR(+VLOOKUP(Ventas[[#This Row],[Codigo de Producto]],Productos[#All],3,FALSE),"")</f>
        <v>Separadores</v>
      </c>
      <c r="E3918" t="s">
        <v>719</v>
      </c>
      <c r="F3918" s="57" t="str">
        <f>IFERROR(+VLOOKUP(Ventas[[#This Row],[Codigo de Producto]],Productos[#All],4,FALSE),"")</f>
        <v>Separadores de 2 mm</v>
      </c>
      <c r="G3918">
        <v>2</v>
      </c>
      <c r="H3918">
        <v>35</v>
      </c>
      <c r="I3918" s="57">
        <f>IF(Ventas[[#This Row],[Cantidad]]="","",+Ventas[[#This Row],[Cantidad]]*Ventas[[#This Row],[Precio]])</f>
        <v>70</v>
      </c>
      <c r="J3918" s="57" t="str">
        <f>IFERROR(+VLOOKUP(Ventas[[#This Row],[Codigo de Producto]],Productos[#All],2,FALSE),"")</f>
        <v>Silco</v>
      </c>
      <c r="K3918">
        <f>IFERROR(+VLOOKUP(Ventas[[#This Row],[Codigo de Producto]],Productos[#All],9,FALSE),"")</f>
        <v>20</v>
      </c>
      <c r="M3918" s="57">
        <f t="shared" si="1266"/>
        <v>40</v>
      </c>
      <c r="N3918" s="57">
        <f t="shared" si="1267"/>
        <v>30</v>
      </c>
    </row>
    <row r="3919" spans="1:14" x14ac:dyDescent="0.25">
      <c r="A3919">
        <v>156</v>
      </c>
      <c r="B3919" s="1">
        <v>44149</v>
      </c>
      <c r="C3919" s="57" t="str">
        <f>IF(Ventas[[#This Row],[Fecha ]]="","",+TEXT(B3919,"mmmm"))</f>
        <v>noviembre</v>
      </c>
      <c r="D3919" s="57" t="str">
        <f>IFERROR(+VLOOKUP(Ventas[[#This Row],[Codigo de Producto]],Productos[#All],3,FALSE),"")</f>
        <v>Azulejos</v>
      </c>
      <c r="E3919" t="s">
        <v>632</v>
      </c>
      <c r="F3919" s="57" t="str">
        <f>IFERROR(+VLOOKUP(Ventas[[#This Row],[Codigo de Producto]],Productos[#All],4,FALSE),"")</f>
        <v>Breccia Café Liso</v>
      </c>
      <c r="G3919">
        <v>2.16</v>
      </c>
      <c r="H3919">
        <v>310</v>
      </c>
      <c r="I3919" s="57">
        <f>IF(Ventas[[#This Row],[Cantidad]]="","",+Ventas[[#This Row],[Cantidad]]*Ventas[[#This Row],[Precio]])</f>
        <v>669.6</v>
      </c>
      <c r="J3919" s="57" t="str">
        <f>IFERROR(+VLOOKUP(Ventas[[#This Row],[Codigo de Producto]],Productos[#All],2,FALSE),"")</f>
        <v>Dispiasa</v>
      </c>
      <c r="K3919">
        <f>IFERROR(+VLOOKUP(Ventas[[#This Row],[Codigo de Producto]],Productos[#All],9,FALSE),"")</f>
        <v>283</v>
      </c>
      <c r="M3919" s="57">
        <f t="shared" si="1266"/>
        <v>611.28000000000009</v>
      </c>
      <c r="N3919" s="57">
        <f t="shared" si="1267"/>
        <v>58.319999999999936</v>
      </c>
    </row>
    <row r="3920" spans="1:14" x14ac:dyDescent="0.25">
      <c r="A3920">
        <v>157</v>
      </c>
      <c r="B3920" s="1">
        <v>44149</v>
      </c>
      <c r="C3920" s="57" t="str">
        <f>IF(Ventas[[#This Row],[Fecha ]]="","",+TEXT(B3920,"mmmm"))</f>
        <v>noviembre</v>
      </c>
      <c r="D3920" s="57" t="str">
        <f>IFERROR(+VLOOKUP(Ventas[[#This Row],[Codigo de Producto]],Productos[#All],3,FALSE),"")</f>
        <v>Baño</v>
      </c>
      <c r="E3920" t="s">
        <v>732</v>
      </c>
      <c r="F3920" s="57" t="str">
        <f>IFERROR(+VLOOKUP(Ventas[[#This Row],[Codigo de Producto]],Productos[#All],4,FALSE),"")</f>
        <v>Ducha Hexagonal Griven</v>
      </c>
      <c r="G3920">
        <v>1</v>
      </c>
      <c r="H3920">
        <v>230</v>
      </c>
      <c r="I3920" s="57">
        <f>IF(Ventas[[#This Row],[Cantidad]]="","",+Ventas[[#This Row],[Cantidad]]*Ventas[[#This Row],[Precio]])</f>
        <v>230</v>
      </c>
      <c r="J3920" s="57" t="str">
        <f>IFERROR(+VLOOKUP(Ventas[[#This Row],[Codigo de Producto]],Productos[#All],2,FALSE),"")</f>
        <v>Invercopa</v>
      </c>
      <c r="K3920">
        <f>IFERROR(+VLOOKUP(Ventas[[#This Row],[Codigo de Producto]],Productos[#All],9,FALSE),"")</f>
        <v>150</v>
      </c>
      <c r="M3920" s="57">
        <f t="shared" si="1266"/>
        <v>150</v>
      </c>
      <c r="N3920" s="57">
        <f t="shared" si="1267"/>
        <v>80</v>
      </c>
    </row>
    <row r="3921" spans="1:14" x14ac:dyDescent="0.25">
      <c r="A3921">
        <v>158</v>
      </c>
      <c r="B3921" s="1">
        <v>44149</v>
      </c>
      <c r="C3921" s="57" t="str">
        <f>IF(Ventas[[#This Row],[Fecha ]]="","",+TEXT(B3921,"mmmm"))</f>
        <v>noviembre</v>
      </c>
      <c r="D3921" s="57" t="str">
        <f>IFERROR(+VLOOKUP(Ventas[[#This Row],[Codigo de Producto]],Productos[#All],3,FALSE),"")</f>
        <v>Baño</v>
      </c>
      <c r="E3921" t="s">
        <v>733</v>
      </c>
      <c r="F3921" s="57" t="str">
        <f>IFERROR(+VLOOKUP(Ventas[[#This Row],[Codigo de Producto]],Productos[#All],4,FALSE),"")</f>
        <v>Tubo de Cortina</v>
      </c>
      <c r="G3921">
        <v>1</v>
      </c>
      <c r="H3921">
        <v>180</v>
      </c>
      <c r="I3921" s="57">
        <f>IF(Ventas[[#This Row],[Cantidad]]="","",+Ventas[[#This Row],[Cantidad]]*Ventas[[#This Row],[Precio]])</f>
        <v>180</v>
      </c>
      <c r="J3921" s="57" t="str">
        <f>IFERROR(+VLOOKUP(Ventas[[#This Row],[Codigo de Producto]],Productos[#All],2,FALSE),"")</f>
        <v>Invercopa</v>
      </c>
      <c r="K3921">
        <f>IFERROR(+VLOOKUP(Ventas[[#This Row],[Codigo de Producto]],Productos[#All],9,FALSE),"")</f>
        <v>138</v>
      </c>
      <c r="M3921" s="57">
        <f t="shared" si="1266"/>
        <v>138</v>
      </c>
      <c r="N3921" s="57">
        <f t="shared" si="1267"/>
        <v>42</v>
      </c>
    </row>
    <row r="3922" spans="1:14" x14ac:dyDescent="0.25">
      <c r="A3922">
        <v>159</v>
      </c>
      <c r="B3922" s="1">
        <v>44149</v>
      </c>
      <c r="C3922" s="57" t="str">
        <f>IF(Ventas[[#This Row],[Fecha ]]="","",+TEXT(B3922,"mmmm"))</f>
        <v>noviembre</v>
      </c>
      <c r="D3922" s="57" t="str">
        <f>IFERROR(+VLOOKUP(Ventas[[#This Row],[Codigo de Producto]],Productos[#All],3,FALSE),"")</f>
        <v>Porcelana</v>
      </c>
      <c r="E3922" t="s">
        <v>708</v>
      </c>
      <c r="F3922" s="57" t="str">
        <f>IFERROR(+VLOOKUP(Ventas[[#This Row],[Codigo de Producto]],Productos[#All],4,FALSE),"")</f>
        <v xml:space="preserve">Porcelana Maya </v>
      </c>
      <c r="G3922">
        <v>1</v>
      </c>
      <c r="H3922">
        <v>60</v>
      </c>
      <c r="I3922" s="57">
        <f>IF(Ventas[[#This Row],[Cantidad]]="","",+Ventas[[#This Row],[Cantidad]]*Ventas[[#This Row],[Precio]])</f>
        <v>60</v>
      </c>
      <c r="J3922" s="57" t="str">
        <f>IFERROR(+VLOOKUP(Ventas[[#This Row],[Codigo de Producto]],Productos[#All],2,FALSE),"")</f>
        <v>Martinez</v>
      </c>
      <c r="K3922">
        <f>IFERROR(+VLOOKUP(Ventas[[#This Row],[Codigo de Producto]],Productos[#All],9,FALSE),"")</f>
        <v>33.333333333333336</v>
      </c>
      <c r="M3922" s="57">
        <f t="shared" si="1266"/>
        <v>33.333333333333336</v>
      </c>
      <c r="N3922" s="57">
        <f t="shared" si="1267"/>
        <v>26.666666666666664</v>
      </c>
    </row>
    <row r="3923" spans="1:14" x14ac:dyDescent="0.25">
      <c r="A3923">
        <v>160</v>
      </c>
      <c r="B3923" s="1">
        <v>44149</v>
      </c>
      <c r="C3923" s="57" t="str">
        <f>IF(Ventas[[#This Row],[Fecha ]]="","",+TEXT(B3923,"mmmm"))</f>
        <v>noviembre</v>
      </c>
      <c r="D3923" s="57" t="str">
        <f>IFERROR(+VLOOKUP(Ventas[[#This Row],[Codigo de Producto]],Productos[#All],3,FALSE),"")</f>
        <v>Listelo</v>
      </c>
      <c r="E3923" t="s">
        <v>734</v>
      </c>
      <c r="F3923" s="57" t="str">
        <f>IFERROR(+VLOOKUP(Ventas[[#This Row],[Codigo de Producto]],Productos[#All],4,FALSE),"")</f>
        <v>Betina Cocina</v>
      </c>
      <c r="G3923">
        <v>26</v>
      </c>
      <c r="H3923">
        <v>45</v>
      </c>
      <c r="I3923" s="57">
        <f>IF(Ventas[[#This Row],[Cantidad]]="","",+Ventas[[#This Row],[Cantidad]]*Ventas[[#This Row],[Precio]])</f>
        <v>1170</v>
      </c>
      <c r="J3923" s="57" t="str">
        <f>IFERROR(+VLOOKUP(Ventas[[#This Row],[Codigo de Producto]],Productos[#All],2,FALSE),"")</f>
        <v>Comasa</v>
      </c>
      <c r="K3923">
        <f>IFERROR(+VLOOKUP(Ventas[[#This Row],[Codigo de Producto]],Productos[#All],9,FALSE),"")</f>
        <v>32</v>
      </c>
      <c r="M3923" s="57">
        <f t="shared" si="1266"/>
        <v>832</v>
      </c>
      <c r="N3923" s="57">
        <f t="shared" si="1267"/>
        <v>338</v>
      </c>
    </row>
    <row r="3924" spans="1:14" x14ac:dyDescent="0.25">
      <c r="A3924">
        <v>161</v>
      </c>
      <c r="B3924" s="1">
        <v>44149</v>
      </c>
      <c r="C3924" s="57" t="str">
        <f>IF(Ventas[[#This Row],[Fecha ]]="","",+TEXT(B3924,"mmmm"))</f>
        <v>noviembre</v>
      </c>
      <c r="D3924" s="57" t="str">
        <f>IFERROR(+VLOOKUP(Ventas[[#This Row],[Codigo de Producto]],Productos[#All],3,FALSE),"")</f>
        <v>Bond</v>
      </c>
      <c r="E3924" t="s">
        <v>704</v>
      </c>
      <c r="F3924" s="57" t="str">
        <f>IFERROR(+VLOOKUP(Ventas[[#This Row],[Codigo de Producto]],Productos[#All],4,FALSE),"")</f>
        <v>Drytec Bond Plus</v>
      </c>
      <c r="G3924">
        <v>3</v>
      </c>
      <c r="H3924">
        <v>155</v>
      </c>
      <c r="I3924" s="57">
        <f>IF(Ventas[[#This Row],[Cantidad]]="","",+Ventas[[#This Row],[Cantidad]]*Ventas[[#This Row],[Precio]])</f>
        <v>465</v>
      </c>
      <c r="J3924" s="57" t="str">
        <f>IFERROR(+VLOOKUP(Ventas[[#This Row],[Codigo de Producto]],Productos[#All],2,FALSE),"")</f>
        <v>Comasa</v>
      </c>
      <c r="K3924">
        <f>IFERROR(+VLOOKUP(Ventas[[#This Row],[Codigo de Producto]],Productos[#All],9,FALSE),"")</f>
        <v>127</v>
      </c>
      <c r="M3924" s="57">
        <f t="shared" si="1266"/>
        <v>381</v>
      </c>
      <c r="N3924" s="57">
        <f t="shared" si="1267"/>
        <v>84</v>
      </c>
    </row>
    <row r="3925" spans="1:14" x14ac:dyDescent="0.25">
      <c r="A3925">
        <v>162</v>
      </c>
      <c r="B3925" s="1">
        <v>44149</v>
      </c>
      <c r="C3925" s="57" t="str">
        <f>IF(Ventas[[#This Row],[Fecha ]]="","",+TEXT(B3925,"mmmm"))</f>
        <v>noviembre</v>
      </c>
      <c r="D3925" s="57" t="str">
        <f>IFERROR(+VLOOKUP(Ventas[[#This Row],[Codigo de Producto]],Productos[#All],3,FALSE),"")</f>
        <v>Porcelana</v>
      </c>
      <c r="E3925" t="s">
        <v>708</v>
      </c>
      <c r="F3925" s="57" t="str">
        <f>IFERROR(+VLOOKUP(Ventas[[#This Row],[Codigo de Producto]],Productos[#All],4,FALSE),"")</f>
        <v xml:space="preserve">Porcelana Maya </v>
      </c>
      <c r="G3925">
        <v>3</v>
      </c>
      <c r="H3925">
        <v>60</v>
      </c>
      <c r="I3925" s="57">
        <f>IF(Ventas[[#This Row],[Cantidad]]="","",+Ventas[[#This Row],[Cantidad]]*Ventas[[#This Row],[Precio]])</f>
        <v>180</v>
      </c>
      <c r="J3925" s="57" t="str">
        <f>IFERROR(+VLOOKUP(Ventas[[#This Row],[Codigo de Producto]],Productos[#All],2,FALSE),"")</f>
        <v>Martinez</v>
      </c>
      <c r="K3925">
        <f>IFERROR(+VLOOKUP(Ventas[[#This Row],[Codigo de Producto]],Productos[#All],9,FALSE),"")</f>
        <v>33.333333333333336</v>
      </c>
      <c r="M3925" s="57">
        <f t="shared" si="1266"/>
        <v>100</v>
      </c>
      <c r="N3925" s="57">
        <f t="shared" si="1267"/>
        <v>80</v>
      </c>
    </row>
    <row r="3926" spans="1:14" x14ac:dyDescent="0.25">
      <c r="A3926">
        <v>163</v>
      </c>
      <c r="B3926" s="1">
        <v>44151</v>
      </c>
      <c r="C3926" s="57" t="str">
        <f>IF(Ventas[[#This Row],[Fecha ]]="","",+TEXT(B3926,"mmmm"))</f>
        <v>noviembre</v>
      </c>
      <c r="D3926" s="57" t="str">
        <f>IFERROR(+VLOOKUP(Ventas[[#This Row],[Codigo de Producto]],Productos[#All],3,FALSE),"")</f>
        <v>Cerámica</v>
      </c>
      <c r="E3926" t="s">
        <v>646</v>
      </c>
      <c r="F3926" s="57" t="str">
        <f>IFERROR(+VLOOKUP(Ventas[[#This Row],[Codigo de Producto]],Productos[#All],4,FALSE),"")</f>
        <v>Zacatepec Marrón</v>
      </c>
      <c r="G3926">
        <v>4</v>
      </c>
      <c r="H3926">
        <v>250</v>
      </c>
      <c r="I3926" s="57">
        <f>IF(Ventas[[#This Row],[Cantidad]]="","",+Ventas[[#This Row],[Cantidad]]*Ventas[[#This Row],[Precio]])</f>
        <v>1000</v>
      </c>
      <c r="J3926" s="57" t="str">
        <f>IFERROR(+VLOOKUP(Ventas[[#This Row],[Codigo de Producto]],Productos[#All],2,FALSE),"")</f>
        <v>Dispiasa</v>
      </c>
      <c r="K3926" s="57">
        <f>IFERROR(+VLOOKUP(Ventas[[#This Row],[Codigo de Producto]],Productos[#All],9,FALSE),"")</f>
        <v>219</v>
      </c>
      <c r="M3926" s="57">
        <f t="shared" ref="M3926:M3957" si="1268">+IF(K3926=0,(""),(K3926*G3926))</f>
        <v>876</v>
      </c>
      <c r="N3926" s="57">
        <f t="shared" ref="N3926:N3957" si="1269">+IF(K3926=0,(""),(I3926-M3926))</f>
        <v>124</v>
      </c>
    </row>
    <row r="3927" spans="1:14" x14ac:dyDescent="0.25">
      <c r="A3927">
        <v>164</v>
      </c>
      <c r="B3927" s="1">
        <v>44151</v>
      </c>
      <c r="C3927" s="57" t="str">
        <f>IF(Ventas[[#This Row],[Fecha ]]="","",+TEXT(B3927,"mmmm"))</f>
        <v>noviembre</v>
      </c>
      <c r="D3927" s="57" t="str">
        <f>IFERROR(+VLOOKUP(Ventas[[#This Row],[Codigo de Producto]],Productos[#All],3,FALSE),"")</f>
        <v>Cerámica</v>
      </c>
      <c r="E3927" t="s">
        <v>646</v>
      </c>
      <c r="F3927" s="57" t="str">
        <f>IFERROR(+VLOOKUP(Ventas[[#This Row],[Codigo de Producto]],Productos[#All],4,FALSE),"")</f>
        <v>Zacatepec Marrón</v>
      </c>
      <c r="G3927">
        <v>4</v>
      </c>
      <c r="H3927">
        <v>250</v>
      </c>
      <c r="I3927" s="57">
        <f>IF(Ventas[[#This Row],[Cantidad]]="","",+Ventas[[#This Row],[Cantidad]]*Ventas[[#This Row],[Precio]])</f>
        <v>1000</v>
      </c>
      <c r="J3927" s="57" t="str">
        <f>IFERROR(+VLOOKUP(Ventas[[#This Row],[Codigo de Producto]],Productos[#All],2,FALSE),"")</f>
        <v>Dispiasa</v>
      </c>
      <c r="K3927" s="57">
        <f>IFERROR(+VLOOKUP(Ventas[[#This Row],[Codigo de Producto]],Productos[#All],9,FALSE),"")</f>
        <v>219</v>
      </c>
      <c r="M3927" s="57">
        <f t="shared" si="1268"/>
        <v>876</v>
      </c>
      <c r="N3927" s="57">
        <f t="shared" si="1269"/>
        <v>124</v>
      </c>
    </row>
    <row r="3928" spans="1:14" x14ac:dyDescent="0.25">
      <c r="A3928">
        <v>165</v>
      </c>
      <c r="B3928" s="1">
        <v>44151</v>
      </c>
      <c r="C3928" s="57" t="str">
        <f>IF(Ventas[[#This Row],[Fecha ]]="","",+TEXT(B3928,"mmmm"))</f>
        <v>noviembre</v>
      </c>
      <c r="D3928" s="57" t="str">
        <f>IFERROR(+VLOOKUP(Ventas[[#This Row],[Codigo de Producto]],Productos[#All],3,FALSE),"")</f>
        <v>Cerámica</v>
      </c>
      <c r="E3928" t="s">
        <v>848</v>
      </c>
      <c r="F3928" s="57" t="str">
        <f>IFERROR(+VLOOKUP(Ventas[[#This Row],[Codigo de Producto]],Productos[#All],4,FALSE),"")</f>
        <v>Madera Klabe</v>
      </c>
      <c r="G3928">
        <f>6/8*1.54</f>
        <v>1.155</v>
      </c>
      <c r="H3928">
        <v>360</v>
      </c>
      <c r="I3928" s="57">
        <f>IF(Ventas[[#This Row],[Cantidad]]="","",+Ventas[[#This Row],[Cantidad]]*Ventas[[#This Row],[Precio]])</f>
        <v>415.8</v>
      </c>
      <c r="J3928" s="57" t="str">
        <f>IFERROR(+VLOOKUP(Ventas[[#This Row],[Codigo de Producto]],Productos[#All],2,FALSE),"")</f>
        <v>Comasa</v>
      </c>
      <c r="K3928" s="57">
        <f>IFERROR(+VLOOKUP(Ventas[[#This Row],[Codigo de Producto]],Productos[#All],9,FALSE),"")</f>
        <v>272</v>
      </c>
      <c r="M3928" s="57">
        <f t="shared" si="1268"/>
        <v>314.16000000000003</v>
      </c>
      <c r="N3928" s="57">
        <f t="shared" si="1269"/>
        <v>101.63999999999999</v>
      </c>
    </row>
    <row r="3929" spans="1:14" x14ac:dyDescent="0.25">
      <c r="A3929">
        <v>166</v>
      </c>
      <c r="B3929" s="1">
        <v>44151</v>
      </c>
      <c r="C3929" s="57" t="str">
        <f>IF(Ventas[[#This Row],[Fecha ]]="","",+TEXT(B3929,"mmmm"))</f>
        <v>noviembre</v>
      </c>
      <c r="D3929" s="57" t="str">
        <f>IFERROR(+VLOOKUP(Ventas[[#This Row],[Codigo de Producto]],Productos[#All],3,FALSE),"")</f>
        <v>Bond</v>
      </c>
      <c r="E3929" t="s">
        <v>704</v>
      </c>
      <c r="F3929" s="57" t="str">
        <f>IFERROR(+VLOOKUP(Ventas[[#This Row],[Codigo de Producto]],Productos[#All],4,FALSE),"")</f>
        <v>Drytec Bond Plus</v>
      </c>
      <c r="G3929">
        <v>6</v>
      </c>
      <c r="H3929">
        <v>155</v>
      </c>
      <c r="I3929" s="57">
        <f>IF(Ventas[[#This Row],[Cantidad]]="","",+Ventas[[#This Row],[Cantidad]]*Ventas[[#This Row],[Precio]])</f>
        <v>930</v>
      </c>
      <c r="J3929" s="57" t="str">
        <f>IFERROR(+VLOOKUP(Ventas[[#This Row],[Codigo de Producto]],Productos[#All],2,FALSE),"")</f>
        <v>Comasa</v>
      </c>
      <c r="K3929" s="57">
        <f>IFERROR(+VLOOKUP(Ventas[[#This Row],[Codigo de Producto]],Productos[#All],9,FALSE),"")</f>
        <v>127</v>
      </c>
      <c r="M3929" s="57">
        <f t="shared" si="1268"/>
        <v>762</v>
      </c>
      <c r="N3929" s="57">
        <f t="shared" si="1269"/>
        <v>168</v>
      </c>
    </row>
    <row r="3930" spans="1:14" x14ac:dyDescent="0.25">
      <c r="A3930">
        <v>167</v>
      </c>
      <c r="B3930" s="1">
        <v>44151</v>
      </c>
      <c r="C3930" s="57" t="str">
        <f>IF(Ventas[[#This Row],[Fecha ]]="","",+TEXT(B3930,"mmmm"))</f>
        <v>noviembre</v>
      </c>
      <c r="D3930" s="57" t="str">
        <f>IFERROR(+VLOOKUP(Ventas[[#This Row],[Codigo de Producto]],Productos[#All],3,FALSE),"")</f>
        <v>Azulejos</v>
      </c>
      <c r="E3930" t="s">
        <v>642</v>
      </c>
      <c r="F3930" s="57" t="str">
        <f>IFERROR(+VLOOKUP(Ventas[[#This Row],[Codigo de Producto]],Productos[#All],4,FALSE),"")</f>
        <v>722 Marrón</v>
      </c>
      <c r="G3930">
        <v>1</v>
      </c>
      <c r="H3930">
        <v>270</v>
      </c>
      <c r="I3930" s="57">
        <f>IF(Ventas[[#This Row],[Cantidad]]="","",+Ventas[[#This Row],[Cantidad]]*Ventas[[#This Row],[Precio]])</f>
        <v>270</v>
      </c>
      <c r="J3930" s="57" t="str">
        <f>IFERROR(+VLOOKUP(Ventas[[#This Row],[Codigo de Producto]],Productos[#All],2,FALSE),"")</f>
        <v>Dispiasa</v>
      </c>
      <c r="K3930" s="57">
        <f>IFERROR(+VLOOKUP(Ventas[[#This Row],[Codigo de Producto]],Productos[#All],9,FALSE),"")</f>
        <v>207</v>
      </c>
      <c r="M3930" s="57">
        <f t="shared" si="1268"/>
        <v>207</v>
      </c>
      <c r="N3930" s="57">
        <f t="shared" si="1269"/>
        <v>63</v>
      </c>
    </row>
    <row r="3931" spans="1:14" x14ac:dyDescent="0.25">
      <c r="A3931">
        <v>168</v>
      </c>
      <c r="B3931" s="1">
        <v>44151</v>
      </c>
      <c r="C3931" s="57" t="str">
        <f>IF(Ventas[[#This Row],[Fecha ]]="","",+TEXT(B3931,"mmmm"))</f>
        <v>noviembre</v>
      </c>
      <c r="D3931" s="57" t="str">
        <f>IFERROR(+VLOOKUP(Ventas[[#This Row],[Codigo de Producto]],Productos[#All],3,FALSE),"")</f>
        <v>Cerámica</v>
      </c>
      <c r="E3931" t="s">
        <v>663</v>
      </c>
      <c r="F3931" s="57" t="str">
        <f>IFERROR(+VLOOKUP(Ventas[[#This Row],[Codigo de Producto]],Productos[#All],4,FALSE),"")</f>
        <v>Mosaico Verde</v>
      </c>
      <c r="G3931">
        <v>4</v>
      </c>
      <c r="H3931">
        <v>300</v>
      </c>
      <c r="I3931" s="57">
        <f>IF(Ventas[[#This Row],[Cantidad]]="","",+Ventas[[#This Row],[Cantidad]]*Ventas[[#This Row],[Precio]])</f>
        <v>1200</v>
      </c>
      <c r="J3931" s="57" t="str">
        <f>IFERROR(+VLOOKUP(Ventas[[#This Row],[Codigo de Producto]],Productos[#All],2,FALSE),"")</f>
        <v>Dispiasa</v>
      </c>
      <c r="K3931" s="57">
        <f>IFERROR(+VLOOKUP(Ventas[[#This Row],[Codigo de Producto]],Productos[#All],9,FALSE),"")</f>
        <v>268</v>
      </c>
      <c r="M3931" s="57">
        <f t="shared" si="1268"/>
        <v>1072</v>
      </c>
      <c r="N3931" s="57">
        <f t="shared" si="1269"/>
        <v>128</v>
      </c>
    </row>
    <row r="3932" spans="1:14" x14ac:dyDescent="0.25">
      <c r="A3932">
        <v>169</v>
      </c>
      <c r="B3932" s="1">
        <v>44151</v>
      </c>
      <c r="C3932" s="57" t="str">
        <f>IF(Ventas[[#This Row],[Fecha ]]="","",+TEXT(B3932,"mmmm"))</f>
        <v>noviembre</v>
      </c>
      <c r="D3932" s="57" t="str">
        <f>IFERROR(+VLOOKUP(Ventas[[#This Row],[Codigo de Producto]],Productos[#All],3,FALSE),"")</f>
        <v>Bond</v>
      </c>
      <c r="E3932" t="s">
        <v>704</v>
      </c>
      <c r="F3932" s="57" t="str">
        <f>IFERROR(+VLOOKUP(Ventas[[#This Row],[Codigo de Producto]],Productos[#All],4,FALSE),"")</f>
        <v>Drytec Bond Plus</v>
      </c>
      <c r="G3932">
        <v>1</v>
      </c>
      <c r="H3932">
        <v>155</v>
      </c>
      <c r="I3932" s="57">
        <f>IF(Ventas[[#This Row],[Cantidad]]="","",+Ventas[[#This Row],[Cantidad]]*Ventas[[#This Row],[Precio]])</f>
        <v>155</v>
      </c>
      <c r="J3932" s="57" t="str">
        <f>IFERROR(+VLOOKUP(Ventas[[#This Row],[Codigo de Producto]],Productos[#All],2,FALSE),"")</f>
        <v>Comasa</v>
      </c>
      <c r="K3932" s="57">
        <f>IFERROR(+VLOOKUP(Ventas[[#This Row],[Codigo de Producto]],Productos[#All],9,FALSE),"")</f>
        <v>127</v>
      </c>
      <c r="M3932" s="57">
        <f t="shared" si="1268"/>
        <v>127</v>
      </c>
      <c r="N3932" s="57">
        <f t="shared" si="1269"/>
        <v>28</v>
      </c>
    </row>
    <row r="3933" spans="1:14" x14ac:dyDescent="0.25">
      <c r="A3933">
        <v>170</v>
      </c>
      <c r="B3933" s="1">
        <v>44151</v>
      </c>
      <c r="C3933" s="57" t="str">
        <f>IF(Ventas[[#This Row],[Fecha ]]="","",+TEXT(B3933,"mmmm"))</f>
        <v>noviembre</v>
      </c>
      <c r="D3933" s="57" t="str">
        <f>IFERROR(+VLOOKUP(Ventas[[#This Row],[Codigo de Producto]],Productos[#All],3,FALSE),"")</f>
        <v>Separadores</v>
      </c>
      <c r="E3933" t="s">
        <v>719</v>
      </c>
      <c r="F3933" s="57" t="str">
        <f>IFERROR(+VLOOKUP(Ventas[[#This Row],[Codigo de Producto]],Productos[#All],4,FALSE),"")</f>
        <v>Separadores de 2 mm</v>
      </c>
      <c r="G3933">
        <v>1</v>
      </c>
      <c r="H3933">
        <v>35</v>
      </c>
      <c r="I3933" s="57">
        <f>IF(Ventas[[#This Row],[Cantidad]]="","",+Ventas[[#This Row],[Cantidad]]*Ventas[[#This Row],[Precio]])</f>
        <v>35</v>
      </c>
      <c r="J3933" s="57" t="str">
        <f>IFERROR(+VLOOKUP(Ventas[[#This Row],[Codigo de Producto]],Productos[#All],2,FALSE),"")</f>
        <v>Silco</v>
      </c>
      <c r="K3933" s="57">
        <f>IFERROR(+VLOOKUP(Ventas[[#This Row],[Codigo de Producto]],Productos[#All],9,FALSE),"")</f>
        <v>20</v>
      </c>
      <c r="M3933" s="57">
        <f t="shared" si="1268"/>
        <v>20</v>
      </c>
      <c r="N3933" s="57">
        <f t="shared" si="1269"/>
        <v>15</v>
      </c>
    </row>
    <row r="3934" spans="1:14" x14ac:dyDescent="0.25">
      <c r="A3934">
        <v>171</v>
      </c>
      <c r="B3934" s="1">
        <v>44151</v>
      </c>
      <c r="C3934" s="57" t="str">
        <f>IF(Ventas[[#This Row],[Fecha ]]="","",+TEXT(B3934,"mmmm"))</f>
        <v>noviembre</v>
      </c>
      <c r="D3934" s="57" t="str">
        <f>IFERROR(+VLOOKUP(Ventas[[#This Row],[Codigo de Producto]],Productos[#All],3,FALSE),"")</f>
        <v>Porcelana</v>
      </c>
      <c r="E3934" t="s">
        <v>708</v>
      </c>
      <c r="F3934" s="57" t="str">
        <f>IFERROR(+VLOOKUP(Ventas[[#This Row],[Codigo de Producto]],Productos[#All],4,FALSE),"")</f>
        <v xml:space="preserve">Porcelana Maya </v>
      </c>
      <c r="G3934">
        <v>1</v>
      </c>
      <c r="H3934">
        <v>60</v>
      </c>
      <c r="I3934" s="57">
        <f>IF(Ventas[[#This Row],[Cantidad]]="","",+Ventas[[#This Row],[Cantidad]]*Ventas[[#This Row],[Precio]])</f>
        <v>60</v>
      </c>
      <c r="J3934" s="57" t="str">
        <f>IFERROR(+VLOOKUP(Ventas[[#This Row],[Codigo de Producto]],Productos[#All],2,FALSE),"")</f>
        <v>Martinez</v>
      </c>
      <c r="K3934" s="57">
        <f>IFERROR(+VLOOKUP(Ventas[[#This Row],[Codigo de Producto]],Productos[#All],9,FALSE),"")</f>
        <v>33.333333333333336</v>
      </c>
      <c r="M3934" s="57">
        <f t="shared" si="1268"/>
        <v>33.333333333333336</v>
      </c>
      <c r="N3934" s="57">
        <f t="shared" si="1269"/>
        <v>26.666666666666664</v>
      </c>
    </row>
    <row r="3935" spans="1:14" x14ac:dyDescent="0.25">
      <c r="A3935">
        <v>172</v>
      </c>
      <c r="B3935" s="1">
        <v>44151</v>
      </c>
      <c r="C3935" s="57" t="str">
        <f>IF(Ventas[[#This Row],[Fecha ]]="","",+TEXT(B3935,"mmmm"))</f>
        <v>noviembre</v>
      </c>
      <c r="D3935" s="57" t="str">
        <f>IFERROR(+VLOOKUP(Ventas[[#This Row],[Codigo de Producto]],Productos[#All],3,FALSE),"")</f>
        <v>Azulejos</v>
      </c>
      <c r="E3935" t="s">
        <v>637</v>
      </c>
      <c r="F3935" s="57" t="str">
        <f>IFERROR(+VLOOKUP(Ventas[[#This Row],[Codigo de Producto]],Productos[#All],4,FALSE),"")</f>
        <v>Marsella Blanco</v>
      </c>
      <c r="G3935">
        <v>1</v>
      </c>
      <c r="H3935">
        <v>300</v>
      </c>
      <c r="I3935" s="57">
        <f>IF(Ventas[[#This Row],[Cantidad]]="","",+Ventas[[#This Row],[Cantidad]]*Ventas[[#This Row],[Precio]])</f>
        <v>300</v>
      </c>
      <c r="J3935" s="57" t="str">
        <f>IFERROR(+VLOOKUP(Ventas[[#This Row],[Codigo de Producto]],Productos[#All],2,FALSE),"")</f>
        <v>Dispiasa</v>
      </c>
      <c r="K3935" s="57">
        <f>IFERROR(+VLOOKUP(Ventas[[#This Row],[Codigo de Producto]],Productos[#All],9,FALSE),"")</f>
        <v>268</v>
      </c>
      <c r="M3935" s="57">
        <f t="shared" si="1268"/>
        <v>268</v>
      </c>
      <c r="N3935" s="57">
        <f t="shared" si="1269"/>
        <v>32</v>
      </c>
    </row>
    <row r="3936" spans="1:14" x14ac:dyDescent="0.25">
      <c r="A3936">
        <v>173</v>
      </c>
      <c r="B3936" s="1">
        <v>44151</v>
      </c>
      <c r="C3936" s="57" t="str">
        <f>IF(Ventas[[#This Row],[Fecha ]]="","",+TEXT(B3936,"mmmm"))</f>
        <v>noviembre</v>
      </c>
      <c r="D3936" s="57" t="str">
        <f>IFERROR(+VLOOKUP(Ventas[[#This Row],[Codigo de Producto]],Productos[#All],3,FALSE),"")</f>
        <v>Azulejos</v>
      </c>
      <c r="E3936" t="s">
        <v>637</v>
      </c>
      <c r="F3936" s="57" t="str">
        <f>IFERROR(+VLOOKUP(Ventas[[#This Row],[Codigo de Producto]],Productos[#All],4,FALSE),"")</f>
        <v>Marsella Blanco</v>
      </c>
      <c r="G3936">
        <v>2.5</v>
      </c>
      <c r="H3936">
        <v>300</v>
      </c>
      <c r="I3936" s="57">
        <f>IF(Ventas[[#This Row],[Cantidad]]="","",+Ventas[[#This Row],[Cantidad]]*Ventas[[#This Row],[Precio]])</f>
        <v>750</v>
      </c>
      <c r="J3936" s="57" t="str">
        <f>IFERROR(+VLOOKUP(Ventas[[#This Row],[Codigo de Producto]],Productos[#All],2,FALSE),"")</f>
        <v>Dispiasa</v>
      </c>
      <c r="K3936" s="57">
        <f>IFERROR(+VLOOKUP(Ventas[[#This Row],[Codigo de Producto]],Productos[#All],9,FALSE),"")</f>
        <v>268</v>
      </c>
      <c r="M3936" s="57">
        <f t="shared" si="1268"/>
        <v>670</v>
      </c>
      <c r="N3936" s="57">
        <f t="shared" si="1269"/>
        <v>80</v>
      </c>
    </row>
    <row r="3937" spans="1:14" x14ac:dyDescent="0.25">
      <c r="A3937">
        <v>174</v>
      </c>
      <c r="B3937" s="1">
        <v>44152</v>
      </c>
      <c r="C3937" s="57" t="str">
        <f>IF(Ventas[[#This Row],[Fecha ]]="","",+TEXT(B3937,"mmmm"))</f>
        <v>noviembre</v>
      </c>
      <c r="D3937" s="57" t="str">
        <f>IFERROR(+VLOOKUP(Ventas[[#This Row],[Codigo de Producto]],Productos[#All],3,FALSE),"")</f>
        <v>Porcelanato</v>
      </c>
      <c r="E3937" t="s">
        <v>694</v>
      </c>
      <c r="F3937" s="57" t="str">
        <f>IFERROR(+VLOOKUP(Ventas[[#This Row],[Codigo de Producto]],Productos[#All],4,FALSE),"")</f>
        <v>Beige Marfil</v>
      </c>
      <c r="G3937">
        <v>10</v>
      </c>
      <c r="H3937">
        <v>380</v>
      </c>
      <c r="I3937" s="57">
        <f>IF(Ventas[[#This Row],[Cantidad]]="","",+Ventas[[#This Row],[Cantidad]]*Ventas[[#This Row],[Precio]])</f>
        <v>3800</v>
      </c>
      <c r="J3937" s="57" t="str">
        <f>IFERROR(+VLOOKUP(Ventas[[#This Row],[Codigo de Producto]],Productos[#All],2,FALSE),"")</f>
        <v>Halcón</v>
      </c>
      <c r="K3937" s="57">
        <f>IFERROR(+VLOOKUP(Ventas[[#This Row],[Codigo de Producto]],Productos[#All],9,FALSE),"")</f>
        <v>340</v>
      </c>
      <c r="M3937" s="57">
        <f t="shared" si="1268"/>
        <v>3400</v>
      </c>
      <c r="N3937" s="57">
        <f t="shared" si="1269"/>
        <v>400</v>
      </c>
    </row>
    <row r="3938" spans="1:14" x14ac:dyDescent="0.25">
      <c r="A3938">
        <v>175</v>
      </c>
      <c r="B3938" s="1">
        <v>44152</v>
      </c>
      <c r="C3938" s="57" t="str">
        <f>IF(Ventas[[#This Row],[Fecha ]]="","",+TEXT(B3938,"mmmm"))</f>
        <v>noviembre</v>
      </c>
      <c r="D3938" s="57" t="str">
        <f>IFERROR(+VLOOKUP(Ventas[[#This Row],[Codigo de Producto]],Productos[#All],3,FALSE),"")</f>
        <v>Cerámica</v>
      </c>
      <c r="E3938" t="s">
        <v>644</v>
      </c>
      <c r="F3938" s="57" t="str">
        <f>IFERROR(+VLOOKUP(Ventas[[#This Row],[Codigo de Producto]],Productos[#All],4,FALSE),"")</f>
        <v>802 Roble</v>
      </c>
      <c r="G3938">
        <v>12</v>
      </c>
      <c r="H3938">
        <v>240</v>
      </c>
      <c r="I3938" s="57">
        <f>IF(Ventas[[#This Row],[Cantidad]]="","",+Ventas[[#This Row],[Cantidad]]*Ventas[[#This Row],[Precio]])</f>
        <v>2880</v>
      </c>
      <c r="J3938" s="57" t="str">
        <f>IFERROR(+VLOOKUP(Ventas[[#This Row],[Codigo de Producto]],Productos[#All],2,FALSE),"")</f>
        <v>Dispiasa</v>
      </c>
      <c r="K3938" s="57">
        <f>IFERROR(+VLOOKUP(Ventas[[#This Row],[Codigo de Producto]],Productos[#All],9,FALSE),"")</f>
        <v>207</v>
      </c>
      <c r="M3938" s="57">
        <f t="shared" si="1268"/>
        <v>2484</v>
      </c>
      <c r="N3938" s="57">
        <f t="shared" si="1269"/>
        <v>396</v>
      </c>
    </row>
    <row r="3939" spans="1:14" x14ac:dyDescent="0.25">
      <c r="A3939">
        <v>176</v>
      </c>
      <c r="B3939" s="1">
        <v>44152</v>
      </c>
      <c r="C3939" s="57" t="str">
        <f>IF(Ventas[[#This Row],[Fecha ]]="","",+TEXT(B3939,"mmmm"))</f>
        <v>noviembre</v>
      </c>
      <c r="D3939" s="57" t="str">
        <f>IFERROR(+VLOOKUP(Ventas[[#This Row],[Codigo de Producto]],Productos[#All],3,FALSE),"")</f>
        <v>Cerámica</v>
      </c>
      <c r="E3939" t="s">
        <v>644</v>
      </c>
      <c r="F3939" s="57" t="str">
        <f>IFERROR(+VLOOKUP(Ventas[[#This Row],[Codigo de Producto]],Productos[#All],4,FALSE),"")</f>
        <v>802 Roble</v>
      </c>
      <c r="G3939">
        <v>1</v>
      </c>
      <c r="H3939">
        <v>240</v>
      </c>
      <c r="I3939" s="57">
        <f>IF(Ventas[[#This Row],[Cantidad]]="","",+Ventas[[#This Row],[Cantidad]]*Ventas[[#This Row],[Precio]])</f>
        <v>240</v>
      </c>
      <c r="J3939" s="57" t="str">
        <f>IFERROR(+VLOOKUP(Ventas[[#This Row],[Codigo de Producto]],Productos[#All],2,FALSE),"")</f>
        <v>Dispiasa</v>
      </c>
      <c r="K3939" s="57">
        <f>IFERROR(+VLOOKUP(Ventas[[#This Row],[Codigo de Producto]],Productos[#All],9,FALSE),"")</f>
        <v>207</v>
      </c>
      <c r="M3939" s="57">
        <f t="shared" si="1268"/>
        <v>207</v>
      </c>
      <c r="N3939" s="57">
        <f t="shared" si="1269"/>
        <v>33</v>
      </c>
    </row>
    <row r="3940" spans="1:14" x14ac:dyDescent="0.25">
      <c r="A3940">
        <v>177</v>
      </c>
      <c r="B3940" s="1">
        <v>44152</v>
      </c>
      <c r="C3940" s="57" t="str">
        <f>IF(Ventas[[#This Row],[Fecha ]]="","",+TEXT(B3940,"mmmm"))</f>
        <v>noviembre</v>
      </c>
      <c r="D3940" s="57" t="str">
        <f>IFERROR(+VLOOKUP(Ventas[[#This Row],[Codigo de Producto]],Productos[#All],3,FALSE),"")</f>
        <v>Porcelanato</v>
      </c>
      <c r="E3940" t="s">
        <v>850</v>
      </c>
      <c r="F3940" s="57" t="str">
        <f>IFERROR(+VLOOKUP(Ventas[[#This Row],[Codigo de Producto]],Productos[#All],4,FALSE),"")</f>
        <v>Gris Sólido</v>
      </c>
      <c r="G3940">
        <v>1.44</v>
      </c>
      <c r="H3940">
        <v>425</v>
      </c>
      <c r="I3940" s="57">
        <f>IF(Ventas[[#This Row],[Cantidad]]="","",+Ventas[[#This Row],[Cantidad]]*Ventas[[#This Row],[Precio]])</f>
        <v>612</v>
      </c>
      <c r="J3940" s="57" t="str">
        <f>IFERROR(+VLOOKUP(Ventas[[#This Row],[Codigo de Producto]],Productos[#All],2,FALSE),"")</f>
        <v>Dispiasa</v>
      </c>
      <c r="K3940" s="57">
        <f>IFERROR(+VLOOKUP(Ventas[[#This Row],[Codigo de Producto]],Productos[#All],9,FALSE),"")</f>
        <v>350</v>
      </c>
      <c r="M3940" s="57">
        <f t="shared" si="1268"/>
        <v>504</v>
      </c>
      <c r="N3940" s="57">
        <f t="shared" si="1269"/>
        <v>108</v>
      </c>
    </row>
    <row r="3941" spans="1:14" x14ac:dyDescent="0.25">
      <c r="A3941">
        <v>178</v>
      </c>
      <c r="B3941" s="1">
        <v>44152</v>
      </c>
      <c r="C3941" s="57" t="str">
        <f>IF(Ventas[[#This Row],[Fecha ]]="","",+TEXT(B3941,"mmmm"))</f>
        <v>noviembre</v>
      </c>
      <c r="D3941" s="57" t="str">
        <f>IFERROR(+VLOOKUP(Ventas[[#This Row],[Codigo de Producto]],Productos[#All],3,FALSE),"")</f>
        <v>Cerámica</v>
      </c>
      <c r="E3941" t="s">
        <v>646</v>
      </c>
      <c r="F3941" s="57" t="str">
        <f>IFERROR(+VLOOKUP(Ventas[[#This Row],[Codigo de Producto]],Productos[#All],4,FALSE),"")</f>
        <v>Zacatepec Marrón</v>
      </c>
      <c r="G3941">
        <v>7</v>
      </c>
      <c r="H3941">
        <v>250</v>
      </c>
      <c r="I3941" s="57">
        <f>IF(Ventas[[#This Row],[Cantidad]]="","",+Ventas[[#This Row],[Cantidad]]*Ventas[[#This Row],[Precio]])</f>
        <v>1750</v>
      </c>
      <c r="J3941" s="57" t="str">
        <f>IFERROR(+VLOOKUP(Ventas[[#This Row],[Codigo de Producto]],Productos[#All],2,FALSE),"")</f>
        <v>Dispiasa</v>
      </c>
      <c r="K3941" s="57">
        <f>IFERROR(+VLOOKUP(Ventas[[#This Row],[Codigo de Producto]],Productos[#All],9,FALSE),"")</f>
        <v>219</v>
      </c>
      <c r="M3941" s="57">
        <f t="shared" si="1268"/>
        <v>1533</v>
      </c>
      <c r="N3941" s="57">
        <f t="shared" si="1269"/>
        <v>217</v>
      </c>
    </row>
    <row r="3942" spans="1:14" x14ac:dyDescent="0.25">
      <c r="A3942">
        <v>179</v>
      </c>
      <c r="B3942" s="1">
        <v>44152</v>
      </c>
      <c r="C3942" s="57" t="str">
        <f>IF(Ventas[[#This Row],[Fecha ]]="","",+TEXT(B3942,"mmmm"))</f>
        <v>noviembre</v>
      </c>
      <c r="D3942" s="57" t="str">
        <f>IFERROR(+VLOOKUP(Ventas[[#This Row],[Codigo de Producto]],Productos[#All],3,FALSE),"")</f>
        <v>Cerámica</v>
      </c>
      <c r="E3942" t="s">
        <v>691</v>
      </c>
      <c r="F3942" s="57" t="str">
        <f>IFERROR(+VLOOKUP(Ventas[[#This Row],[Codigo de Producto]],Productos[#All],4,FALSE),"")</f>
        <v>Madera Dinizia Oscuro</v>
      </c>
      <c r="G3942">
        <v>1.5</v>
      </c>
      <c r="H3942">
        <v>240</v>
      </c>
      <c r="I3942" s="57">
        <f>IF(Ventas[[#This Row],[Cantidad]]="","",+Ventas[[#This Row],[Cantidad]]*Ventas[[#This Row],[Precio]])</f>
        <v>360</v>
      </c>
      <c r="J3942" s="57" t="str">
        <f>IFERROR(+VLOOKUP(Ventas[[#This Row],[Codigo de Producto]],Productos[#All],2,FALSE),"")</f>
        <v>Comasa</v>
      </c>
      <c r="K3942" s="57">
        <f>IFERROR(+VLOOKUP(Ventas[[#This Row],[Codigo de Producto]],Productos[#All],9,FALSE),"")</f>
        <v>212</v>
      </c>
      <c r="M3942" s="57">
        <f t="shared" si="1268"/>
        <v>318</v>
      </c>
      <c r="N3942" s="57">
        <f t="shared" si="1269"/>
        <v>42</v>
      </c>
    </row>
    <row r="3943" spans="1:14" x14ac:dyDescent="0.25">
      <c r="A3943">
        <v>180</v>
      </c>
      <c r="B3943" s="1">
        <v>44152</v>
      </c>
      <c r="C3943" s="57" t="str">
        <f>IF(Ventas[[#This Row],[Fecha ]]="","",+TEXT(B3943,"mmmm"))</f>
        <v>noviembre</v>
      </c>
      <c r="D3943" s="57" t="str">
        <f>IFERROR(+VLOOKUP(Ventas[[#This Row],[Codigo de Producto]],Productos[#All],3,FALSE),"")</f>
        <v>Fachaleta</v>
      </c>
      <c r="E3943" t="s">
        <v>846</v>
      </c>
      <c r="F3943" s="57" t="str">
        <f>IFERROR(+VLOOKUP(Ventas[[#This Row],[Codigo de Producto]],Productos[#All],4,FALSE),"")</f>
        <v>Creta Marrón</v>
      </c>
      <c r="G3943">
        <v>6</v>
      </c>
      <c r="H3943">
        <v>430</v>
      </c>
      <c r="I3943" s="57">
        <f>IF(Ventas[[#This Row],[Cantidad]]="","",+Ventas[[#This Row],[Cantidad]]*Ventas[[#This Row],[Precio]])</f>
        <v>2580</v>
      </c>
      <c r="J3943" s="57" t="str">
        <f>IFERROR(+VLOOKUP(Ventas[[#This Row],[Codigo de Producto]],Productos[#All],2,FALSE),"")</f>
        <v>Dispiasa</v>
      </c>
      <c r="K3943" s="57">
        <f>IFERROR(+VLOOKUP(Ventas[[#This Row],[Codigo de Producto]],Productos[#All],9,FALSE),"")</f>
        <v>335</v>
      </c>
      <c r="M3943" s="57">
        <f t="shared" si="1268"/>
        <v>2010</v>
      </c>
      <c r="N3943" s="57">
        <f t="shared" si="1269"/>
        <v>570</v>
      </c>
    </row>
    <row r="3944" spans="1:14" x14ac:dyDescent="0.25">
      <c r="A3944">
        <v>181</v>
      </c>
      <c r="B3944" s="1">
        <v>44152</v>
      </c>
      <c r="C3944" s="57" t="str">
        <f>IF(Ventas[[#This Row],[Fecha ]]="","",+TEXT(B3944,"mmmm"))</f>
        <v>noviembre</v>
      </c>
      <c r="D3944" s="57" t="str">
        <f>IFERROR(+VLOOKUP(Ventas[[#This Row],[Codigo de Producto]],Productos[#All],3,FALSE),"")</f>
        <v>Azulejos</v>
      </c>
      <c r="E3944" t="s">
        <v>632</v>
      </c>
      <c r="F3944" s="57" t="str">
        <f>IFERROR(+VLOOKUP(Ventas[[#This Row],[Codigo de Producto]],Productos[#All],4,FALSE),"")</f>
        <v>Breccia Café Liso</v>
      </c>
      <c r="G3944">
        <v>5.48</v>
      </c>
      <c r="H3944">
        <v>310</v>
      </c>
      <c r="I3944" s="57">
        <f>IF(Ventas[[#This Row],[Cantidad]]="","",+Ventas[[#This Row],[Cantidad]]*Ventas[[#This Row],[Precio]])</f>
        <v>1698.8000000000002</v>
      </c>
      <c r="J3944" s="57" t="str">
        <f>IFERROR(+VLOOKUP(Ventas[[#This Row],[Codigo de Producto]],Productos[#All],2,FALSE),"")</f>
        <v>Dispiasa</v>
      </c>
      <c r="K3944" s="57">
        <f>IFERROR(+VLOOKUP(Ventas[[#This Row],[Codigo de Producto]],Productos[#All],9,FALSE),"")</f>
        <v>283</v>
      </c>
      <c r="M3944" s="57">
        <f t="shared" si="1268"/>
        <v>1550.8400000000001</v>
      </c>
      <c r="N3944" s="57">
        <f t="shared" si="1269"/>
        <v>147.96000000000004</v>
      </c>
    </row>
    <row r="3945" spans="1:14" x14ac:dyDescent="0.25">
      <c r="A3945">
        <v>182</v>
      </c>
      <c r="B3945" s="1">
        <v>44152</v>
      </c>
      <c r="C3945" s="57" t="str">
        <f>IF(Ventas[[#This Row],[Fecha ]]="","",+TEXT(B3945,"mmmm"))</f>
        <v>noviembre</v>
      </c>
      <c r="D3945" s="57" t="str">
        <f>IFERROR(+VLOOKUP(Ventas[[#This Row],[Codigo de Producto]],Productos[#All],3,FALSE),"")</f>
        <v>Bond</v>
      </c>
      <c r="E3945" t="s">
        <v>704</v>
      </c>
      <c r="F3945" s="57" t="str">
        <f>IFERROR(+VLOOKUP(Ventas[[#This Row],[Codigo de Producto]],Productos[#All],4,FALSE),"")</f>
        <v>Drytec Bond Plus</v>
      </c>
      <c r="G3945">
        <v>3</v>
      </c>
      <c r="H3945">
        <v>155</v>
      </c>
      <c r="I3945" s="57">
        <f>IF(Ventas[[#This Row],[Cantidad]]="","",+Ventas[[#This Row],[Cantidad]]*Ventas[[#This Row],[Precio]])</f>
        <v>465</v>
      </c>
      <c r="J3945" s="57" t="str">
        <f>IFERROR(+VLOOKUP(Ventas[[#This Row],[Codigo de Producto]],Productos[#All],2,FALSE),"")</f>
        <v>Comasa</v>
      </c>
      <c r="K3945" s="57">
        <f>IFERROR(+VLOOKUP(Ventas[[#This Row],[Codigo de Producto]],Productos[#All],9,FALSE),"")</f>
        <v>127</v>
      </c>
      <c r="M3945" s="57">
        <f t="shared" si="1268"/>
        <v>381</v>
      </c>
      <c r="N3945" s="57">
        <f t="shared" si="1269"/>
        <v>84</v>
      </c>
    </row>
    <row r="3946" spans="1:14" x14ac:dyDescent="0.25">
      <c r="A3946">
        <v>183</v>
      </c>
      <c r="B3946" s="1">
        <v>44152</v>
      </c>
      <c r="C3946" s="57" t="str">
        <f>IF(Ventas[[#This Row],[Fecha ]]="","",+TEXT(B3946,"mmmm"))</f>
        <v>noviembre</v>
      </c>
      <c r="D3946" s="57" t="str">
        <f>IFERROR(+VLOOKUP(Ventas[[#This Row],[Codigo de Producto]],Productos[#All],3,FALSE),"")</f>
        <v>Cerámica</v>
      </c>
      <c r="E3946" t="s">
        <v>848</v>
      </c>
      <c r="F3946" s="57" t="str">
        <f>IFERROR(+VLOOKUP(Ventas[[#This Row],[Codigo de Producto]],Productos[#All],4,FALSE),"")</f>
        <v>Madera Klabe</v>
      </c>
      <c r="G3946">
        <f>2/8*1.54</f>
        <v>0.38500000000000001</v>
      </c>
      <c r="H3946">
        <v>380</v>
      </c>
      <c r="I3946" s="57">
        <f>IF(Ventas[[#This Row],[Cantidad]]="","",+Ventas[[#This Row],[Cantidad]]*Ventas[[#This Row],[Precio]])</f>
        <v>146.30000000000001</v>
      </c>
      <c r="J3946" s="57" t="str">
        <f>IFERROR(+VLOOKUP(Ventas[[#This Row],[Codigo de Producto]],Productos[#All],2,FALSE),"")</f>
        <v>Comasa</v>
      </c>
      <c r="K3946" s="57">
        <f>IFERROR(+VLOOKUP(Ventas[[#This Row],[Codigo de Producto]],Productos[#All],9,FALSE),"")</f>
        <v>272</v>
      </c>
      <c r="M3946" s="57">
        <f t="shared" si="1268"/>
        <v>104.72</v>
      </c>
      <c r="N3946" s="57">
        <f t="shared" si="1269"/>
        <v>41.580000000000013</v>
      </c>
    </row>
    <row r="3947" spans="1:14" x14ac:dyDescent="0.25">
      <c r="A3947">
        <v>184</v>
      </c>
      <c r="B3947" s="1">
        <v>44152</v>
      </c>
      <c r="C3947" s="57" t="str">
        <f>IF(Ventas[[#This Row],[Fecha ]]="","",+TEXT(B3947,"mmmm"))</f>
        <v>noviembre</v>
      </c>
      <c r="D3947" s="57" t="str">
        <f>IFERROR(+VLOOKUP(Ventas[[#This Row],[Codigo de Producto]],Productos[#All],3,FALSE),"")</f>
        <v>Baño</v>
      </c>
      <c r="E3947" t="s">
        <v>851</v>
      </c>
      <c r="F3947" s="57" t="str">
        <f>IFERROR(+VLOOKUP(Ventas[[#This Row],[Codigo de Producto]],Productos[#All],4,FALSE),"")</f>
        <v>Jabonera</v>
      </c>
      <c r="G3947">
        <v>1</v>
      </c>
      <c r="H3947">
        <v>155</v>
      </c>
      <c r="I3947" s="57">
        <f>IF(Ventas[[#This Row],[Cantidad]]="","",+Ventas[[#This Row],[Cantidad]]*Ventas[[#This Row],[Precio]])</f>
        <v>155</v>
      </c>
      <c r="J3947" s="57" t="str">
        <f>IFERROR(+VLOOKUP(Ventas[[#This Row],[Codigo de Producto]],Productos[#All],2,FALSE),"")</f>
        <v>Invercopa</v>
      </c>
      <c r="K3947" s="57">
        <f>IFERROR(+VLOOKUP(Ventas[[#This Row],[Codigo de Producto]],Productos[#All],9,FALSE),"")</f>
        <v>100</v>
      </c>
      <c r="M3947" s="57">
        <f t="shared" si="1268"/>
        <v>100</v>
      </c>
      <c r="N3947" s="57">
        <f t="shared" si="1269"/>
        <v>55</v>
      </c>
    </row>
    <row r="3948" spans="1:14" x14ac:dyDescent="0.25">
      <c r="A3948">
        <v>185</v>
      </c>
      <c r="B3948" s="1">
        <v>44152</v>
      </c>
      <c r="C3948" s="57" t="str">
        <f>IF(Ventas[[#This Row],[Fecha ]]="","",+TEXT(B3948,"mmmm"))</f>
        <v>noviembre</v>
      </c>
      <c r="D3948" s="57" t="str">
        <f>IFERROR(+VLOOKUP(Ventas[[#This Row],[Codigo de Producto]],Productos[#All],3,FALSE),"")</f>
        <v>Azulejos</v>
      </c>
      <c r="E3948" t="s">
        <v>852</v>
      </c>
      <c r="F3948" s="57" t="str">
        <f>IFERROR(+VLOOKUP(Ventas[[#This Row],[Codigo de Producto]],Productos[#All],4,FALSE),"")</f>
        <v>Primavera Azul Liso</v>
      </c>
      <c r="G3948">
        <v>4</v>
      </c>
      <c r="H3948">
        <v>300</v>
      </c>
      <c r="I3948" s="57">
        <f>IF(Ventas[[#This Row],[Cantidad]]="","",+Ventas[[#This Row],[Cantidad]]*Ventas[[#This Row],[Precio]])</f>
        <v>1200</v>
      </c>
      <c r="J3948" s="57" t="str">
        <f>IFERROR(+VLOOKUP(Ventas[[#This Row],[Codigo de Producto]],Productos[#All],2,FALSE),"")</f>
        <v>Dispiasa</v>
      </c>
      <c r="K3948" s="57">
        <f>IFERROR(+VLOOKUP(Ventas[[#This Row],[Codigo de Producto]],Productos[#All],9,FALSE),"")</f>
        <v>268</v>
      </c>
      <c r="M3948" s="57">
        <f t="shared" si="1268"/>
        <v>1072</v>
      </c>
      <c r="N3948" s="57">
        <f t="shared" si="1269"/>
        <v>128</v>
      </c>
    </row>
    <row r="3949" spans="1:14" x14ac:dyDescent="0.25">
      <c r="A3949">
        <v>186</v>
      </c>
      <c r="B3949" s="1">
        <v>44152</v>
      </c>
      <c r="C3949" s="57" t="str">
        <f>IF(Ventas[[#This Row],[Fecha ]]="","",+TEXT(B3949,"mmmm"))</f>
        <v>noviembre</v>
      </c>
      <c r="D3949" s="57" t="str">
        <f>IFERROR(+VLOOKUP(Ventas[[#This Row],[Codigo de Producto]],Productos[#All],3,FALSE),"")</f>
        <v>Separadores</v>
      </c>
      <c r="E3949" t="s">
        <v>719</v>
      </c>
      <c r="F3949" s="57" t="str">
        <f>IFERROR(+VLOOKUP(Ventas[[#This Row],[Codigo de Producto]],Productos[#All],4,FALSE),"")</f>
        <v>Separadores de 2 mm</v>
      </c>
      <c r="G3949">
        <v>1</v>
      </c>
      <c r="H3949">
        <v>35</v>
      </c>
      <c r="I3949" s="57">
        <f>IF(Ventas[[#This Row],[Cantidad]]="","",+Ventas[[#This Row],[Cantidad]]*Ventas[[#This Row],[Precio]])</f>
        <v>35</v>
      </c>
      <c r="J3949" s="57" t="str">
        <f>IFERROR(+VLOOKUP(Ventas[[#This Row],[Codigo de Producto]],Productos[#All],2,FALSE),"")</f>
        <v>Silco</v>
      </c>
      <c r="K3949" s="57">
        <f>IFERROR(+VLOOKUP(Ventas[[#This Row],[Codigo de Producto]],Productos[#All],9,FALSE),"")</f>
        <v>20</v>
      </c>
      <c r="M3949" s="57">
        <f t="shared" si="1268"/>
        <v>20</v>
      </c>
      <c r="N3949" s="57">
        <f t="shared" si="1269"/>
        <v>15</v>
      </c>
    </row>
    <row r="3950" spans="1:14" x14ac:dyDescent="0.25">
      <c r="A3950">
        <v>187</v>
      </c>
      <c r="B3950" s="1">
        <v>44152</v>
      </c>
      <c r="C3950" s="57" t="str">
        <f>IF(Ventas[[#This Row],[Fecha ]]="","",+TEXT(B3950,"mmmm"))</f>
        <v>noviembre</v>
      </c>
      <c r="D3950" s="57" t="str">
        <f>IFERROR(+VLOOKUP(Ventas[[#This Row],[Codigo de Producto]],Productos[#All],3,FALSE),"")</f>
        <v>Azulejos</v>
      </c>
      <c r="E3950" t="s">
        <v>668</v>
      </c>
      <c r="F3950" s="57" t="str">
        <f>IFERROR(+VLOOKUP(Ventas[[#This Row],[Codigo de Producto]],Productos[#All],4,FALSE),"")</f>
        <v>Romano Beige Cocina</v>
      </c>
      <c r="G3950">
        <v>2</v>
      </c>
      <c r="H3950">
        <v>295</v>
      </c>
      <c r="I3950" s="57">
        <f>IF(Ventas[[#This Row],[Cantidad]]="","",+Ventas[[#This Row],[Cantidad]]*Ventas[[#This Row],[Precio]])</f>
        <v>590</v>
      </c>
      <c r="J3950" s="57" t="str">
        <f>IFERROR(+VLOOKUP(Ventas[[#This Row],[Codigo de Producto]],Productos[#All],2,FALSE),"")</f>
        <v>Dispiasa</v>
      </c>
      <c r="K3950" s="57">
        <f>IFERROR(+VLOOKUP(Ventas[[#This Row],[Codigo de Producto]],Productos[#All],9,FALSE),"")</f>
        <v>268</v>
      </c>
      <c r="M3950" s="57">
        <f t="shared" si="1268"/>
        <v>536</v>
      </c>
      <c r="N3950" s="57">
        <f t="shared" si="1269"/>
        <v>54</v>
      </c>
    </row>
    <row r="3951" spans="1:14" x14ac:dyDescent="0.25">
      <c r="A3951">
        <v>188</v>
      </c>
      <c r="B3951" s="1">
        <v>44152</v>
      </c>
      <c r="C3951" s="57" t="str">
        <f>IF(Ventas[[#This Row],[Fecha ]]="","",+TEXT(B3951,"mmmm"))</f>
        <v>noviembre</v>
      </c>
      <c r="D3951" s="57" t="str">
        <f>IFERROR(+VLOOKUP(Ventas[[#This Row],[Codigo de Producto]],Productos[#All],3,FALSE),"")</f>
        <v>Azulejos</v>
      </c>
      <c r="E3951" t="s">
        <v>667</v>
      </c>
      <c r="F3951" s="57" t="str">
        <f>IFERROR(+VLOOKUP(Ventas[[#This Row],[Codigo de Producto]],Productos[#All],4,FALSE),"")</f>
        <v>Romano Beige Liso</v>
      </c>
      <c r="G3951">
        <v>11</v>
      </c>
      <c r="H3951">
        <v>295</v>
      </c>
      <c r="I3951" s="57">
        <f>IF(Ventas[[#This Row],[Cantidad]]="","",+Ventas[[#This Row],[Cantidad]]*Ventas[[#This Row],[Precio]])</f>
        <v>3245</v>
      </c>
      <c r="J3951" s="57" t="str">
        <f>IFERROR(+VLOOKUP(Ventas[[#This Row],[Codigo de Producto]],Productos[#All],2,FALSE),"")</f>
        <v>Dispiasa</v>
      </c>
      <c r="K3951" s="57">
        <f>IFERROR(+VLOOKUP(Ventas[[#This Row],[Codigo de Producto]],Productos[#All],9,FALSE),"")</f>
        <v>268</v>
      </c>
      <c r="M3951" s="57">
        <f t="shared" si="1268"/>
        <v>2948</v>
      </c>
      <c r="N3951" s="57">
        <f t="shared" si="1269"/>
        <v>297</v>
      </c>
    </row>
    <row r="3952" spans="1:14" x14ac:dyDescent="0.25">
      <c r="A3952">
        <v>189</v>
      </c>
      <c r="B3952" s="1">
        <v>44152</v>
      </c>
      <c r="C3952" s="57" t="str">
        <f>IF(Ventas[[#This Row],[Fecha ]]="","",+TEXT(B3952,"mmmm"))</f>
        <v>noviembre</v>
      </c>
      <c r="D3952" s="57" t="str">
        <f>IFERROR(+VLOOKUP(Ventas[[#This Row],[Codigo de Producto]],Productos[#All],3,FALSE),"")</f>
        <v>Porcelanato</v>
      </c>
      <c r="E3952" t="s">
        <v>694</v>
      </c>
      <c r="F3952" s="57" t="str">
        <f>IFERROR(+VLOOKUP(Ventas[[#This Row],[Codigo de Producto]],Productos[#All],4,FALSE),"")</f>
        <v>Beige Marfil</v>
      </c>
      <c r="G3952">
        <v>10</v>
      </c>
      <c r="H3952">
        <v>380</v>
      </c>
      <c r="I3952" s="57">
        <f>IF(Ventas[[#This Row],[Cantidad]]="","",+Ventas[[#This Row],[Cantidad]]*Ventas[[#This Row],[Precio]])</f>
        <v>3800</v>
      </c>
      <c r="J3952" s="57" t="str">
        <f>IFERROR(+VLOOKUP(Ventas[[#This Row],[Codigo de Producto]],Productos[#All],2,FALSE),"")</f>
        <v>Halcón</v>
      </c>
      <c r="K3952" s="57">
        <f>IFERROR(+VLOOKUP(Ventas[[#This Row],[Codigo de Producto]],Productos[#All],9,FALSE),"")</f>
        <v>340</v>
      </c>
      <c r="M3952" s="57">
        <f t="shared" si="1268"/>
        <v>3400</v>
      </c>
      <c r="N3952" s="57">
        <f t="shared" si="1269"/>
        <v>400</v>
      </c>
    </row>
    <row r="3953" spans="1:14" x14ac:dyDescent="0.25">
      <c r="A3953">
        <v>190</v>
      </c>
      <c r="B3953" s="1">
        <v>44153</v>
      </c>
      <c r="C3953" s="57" t="str">
        <f>IF(Ventas[[#This Row],[Fecha ]]="","",+TEXT(B3953,"mmmm"))</f>
        <v>noviembre</v>
      </c>
      <c r="D3953" s="57" t="str">
        <f>IFERROR(+VLOOKUP(Ventas[[#This Row],[Codigo de Producto]],Productos[#All],3,FALSE),"")</f>
        <v>Cerámica</v>
      </c>
      <c r="E3953" t="s">
        <v>679</v>
      </c>
      <c r="F3953" s="57" t="str">
        <f>IFERROR(+VLOOKUP(Ventas[[#This Row],[Codigo de Producto]],Productos[#All],4,FALSE),"")</f>
        <v>Rio Gris Granilla</v>
      </c>
      <c r="G3953">
        <v>3.5</v>
      </c>
      <c r="H3953">
        <v>250</v>
      </c>
      <c r="I3953" s="57">
        <f>IF(Ventas[[#This Row],[Cantidad]]="","",+Ventas[[#This Row],[Cantidad]]*Ventas[[#This Row],[Precio]])</f>
        <v>875</v>
      </c>
      <c r="J3953" s="57" t="str">
        <f>IFERROR(+VLOOKUP(Ventas[[#This Row],[Codigo de Producto]],Productos[#All],2,FALSE),"")</f>
        <v>Dispiasa</v>
      </c>
      <c r="K3953" s="57">
        <f>IFERROR(+VLOOKUP(Ventas[[#This Row],[Codigo de Producto]],Productos[#All],9,FALSE),"")</f>
        <v>210</v>
      </c>
      <c r="M3953" s="57">
        <f t="shared" si="1268"/>
        <v>735</v>
      </c>
      <c r="N3953" s="57">
        <f t="shared" si="1269"/>
        <v>140</v>
      </c>
    </row>
    <row r="3954" spans="1:14" x14ac:dyDescent="0.25">
      <c r="A3954">
        <v>191</v>
      </c>
      <c r="B3954" s="1">
        <v>44153</v>
      </c>
      <c r="C3954" s="57" t="str">
        <f>IF(Ventas[[#This Row],[Fecha ]]="","",+TEXT(B3954,"mmmm"))</f>
        <v>noviembre</v>
      </c>
      <c r="D3954" s="57" t="str">
        <f>IFERROR(+VLOOKUP(Ventas[[#This Row],[Codigo de Producto]],Productos[#All],3,FALSE),"")</f>
        <v>Azulejos</v>
      </c>
      <c r="E3954" s="57" t="s">
        <v>642</v>
      </c>
      <c r="F3954" s="57" t="str">
        <f>IFERROR(+VLOOKUP(Ventas[[#This Row],[Codigo de Producto]],Productos[#All],4,FALSE),"")</f>
        <v>722 Marrón</v>
      </c>
      <c r="G3954">
        <v>5</v>
      </c>
      <c r="H3954">
        <v>270</v>
      </c>
      <c r="I3954" s="57">
        <f>IF(Ventas[[#This Row],[Cantidad]]="","",+Ventas[[#This Row],[Cantidad]]*Ventas[[#This Row],[Precio]])</f>
        <v>1350</v>
      </c>
      <c r="J3954" s="57" t="str">
        <f>IFERROR(+VLOOKUP(Ventas[[#This Row],[Codigo de Producto]],Productos[#All],2,FALSE),"")</f>
        <v>Dispiasa</v>
      </c>
      <c r="K3954" s="57">
        <f>IFERROR(+VLOOKUP(Ventas[[#This Row],[Codigo de Producto]],Productos[#All],9,FALSE),"")</f>
        <v>207</v>
      </c>
      <c r="M3954" s="57">
        <f t="shared" si="1268"/>
        <v>1035</v>
      </c>
      <c r="N3954" s="57">
        <f t="shared" si="1269"/>
        <v>315</v>
      </c>
    </row>
    <row r="3955" spans="1:14" x14ac:dyDescent="0.25">
      <c r="A3955">
        <v>192</v>
      </c>
      <c r="B3955" s="1">
        <v>44153</v>
      </c>
      <c r="C3955" s="57" t="str">
        <f>IF(Ventas[[#This Row],[Fecha ]]="","",+TEXT(B3955,"mmmm"))</f>
        <v>noviembre</v>
      </c>
      <c r="D3955" s="57" t="str">
        <f>IFERROR(+VLOOKUP(Ventas[[#This Row],[Codigo de Producto]],Productos[#All],3,FALSE),"")</f>
        <v>Bond</v>
      </c>
      <c r="E3955" t="s">
        <v>704</v>
      </c>
      <c r="F3955" s="57" t="str">
        <f>IFERROR(+VLOOKUP(Ventas[[#This Row],[Codigo de Producto]],Productos[#All],4,FALSE),"")</f>
        <v>Drytec Bond Plus</v>
      </c>
      <c r="G3955">
        <v>1</v>
      </c>
      <c r="H3955">
        <v>155</v>
      </c>
      <c r="I3955" s="57">
        <f>IF(Ventas[[#This Row],[Cantidad]]="","",+Ventas[[#This Row],[Cantidad]]*Ventas[[#This Row],[Precio]])</f>
        <v>155</v>
      </c>
      <c r="J3955" s="57" t="str">
        <f>IFERROR(+VLOOKUP(Ventas[[#This Row],[Codigo de Producto]],Productos[#All],2,FALSE),"")</f>
        <v>Comasa</v>
      </c>
      <c r="K3955" s="57">
        <f>IFERROR(+VLOOKUP(Ventas[[#This Row],[Codigo de Producto]],Productos[#All],9,FALSE),"")</f>
        <v>127</v>
      </c>
      <c r="M3955" s="57">
        <f t="shared" si="1268"/>
        <v>127</v>
      </c>
      <c r="N3955" s="57">
        <f t="shared" si="1269"/>
        <v>28</v>
      </c>
    </row>
    <row r="3956" spans="1:14" x14ac:dyDescent="0.25">
      <c r="A3956">
        <v>193</v>
      </c>
      <c r="B3956" s="1">
        <v>44153</v>
      </c>
      <c r="C3956" s="57" t="str">
        <f>IF(Ventas[[#This Row],[Fecha ]]="","",+TEXT(B3956,"mmmm"))</f>
        <v>noviembre</v>
      </c>
      <c r="D3956" s="57" t="str">
        <f>IFERROR(+VLOOKUP(Ventas[[#This Row],[Codigo de Producto]],Productos[#All],3,FALSE),"")</f>
        <v>Fachaleta</v>
      </c>
      <c r="E3956" t="s">
        <v>846</v>
      </c>
      <c r="F3956" s="57" t="str">
        <f>IFERROR(+VLOOKUP(Ventas[[#This Row],[Codigo de Producto]],Productos[#All],4,FALSE),"")</f>
        <v>Creta Marrón</v>
      </c>
      <c r="G3956">
        <v>1.19</v>
      </c>
      <c r="H3956">
        <v>430</v>
      </c>
      <c r="I3956" s="57">
        <f>IF(Ventas[[#This Row],[Cantidad]]="","",+Ventas[[#This Row],[Cantidad]]*Ventas[[#This Row],[Precio]])</f>
        <v>511.7</v>
      </c>
      <c r="J3956" s="57" t="str">
        <f>IFERROR(+VLOOKUP(Ventas[[#This Row],[Codigo de Producto]],Productos[#All],2,FALSE),"")</f>
        <v>Dispiasa</v>
      </c>
      <c r="K3956" s="57">
        <f>IFERROR(+VLOOKUP(Ventas[[#This Row],[Codigo de Producto]],Productos[#All],9,FALSE),"")</f>
        <v>335</v>
      </c>
      <c r="M3956" s="57">
        <f t="shared" si="1268"/>
        <v>398.65</v>
      </c>
      <c r="N3956" s="57">
        <f t="shared" si="1269"/>
        <v>113.05000000000001</v>
      </c>
    </row>
    <row r="3957" spans="1:14" x14ac:dyDescent="0.25">
      <c r="A3957">
        <v>194</v>
      </c>
      <c r="B3957" s="1">
        <v>44154</v>
      </c>
      <c r="C3957" s="57" t="str">
        <f>IF(Ventas[[#This Row],[Fecha ]]="","",+TEXT(B3957,"mmmm"))</f>
        <v>noviembre</v>
      </c>
      <c r="D3957" s="57" t="str">
        <f>IFERROR(+VLOOKUP(Ventas[[#This Row],[Codigo de Producto]],Productos[#All],3,FALSE),"")</f>
        <v>Porcelana</v>
      </c>
      <c r="E3957" t="s">
        <v>708</v>
      </c>
      <c r="F3957" s="57" t="str">
        <f>IFERROR(+VLOOKUP(Ventas[[#This Row],[Codigo de Producto]],Productos[#All],4,FALSE),"")</f>
        <v xml:space="preserve">Porcelana Maya </v>
      </c>
      <c r="G3957">
        <v>1</v>
      </c>
      <c r="H3957">
        <v>60</v>
      </c>
      <c r="I3957" s="57">
        <f>IF(Ventas[[#This Row],[Cantidad]]="","",+Ventas[[#This Row],[Cantidad]]*Ventas[[#This Row],[Precio]])</f>
        <v>60</v>
      </c>
      <c r="J3957" s="57" t="str">
        <f>IFERROR(+VLOOKUP(Ventas[[#This Row],[Codigo de Producto]],Productos[#All],2,FALSE),"")</f>
        <v>Martinez</v>
      </c>
      <c r="K3957" s="57">
        <f>IFERROR(+VLOOKUP(Ventas[[#This Row],[Codigo de Producto]],Productos[#All],9,FALSE),"")</f>
        <v>33.333333333333336</v>
      </c>
      <c r="M3957" s="57">
        <f t="shared" si="1268"/>
        <v>33.333333333333336</v>
      </c>
      <c r="N3957" s="57">
        <f t="shared" si="1269"/>
        <v>26.666666666666664</v>
      </c>
    </row>
    <row r="3958" spans="1:14" x14ac:dyDescent="0.25">
      <c r="A3958">
        <v>195</v>
      </c>
      <c r="B3958" s="1">
        <v>44154</v>
      </c>
      <c r="C3958" s="57" t="str">
        <f>IF(Ventas[[#This Row],[Fecha ]]="","",+TEXT(B3958,"mmmm"))</f>
        <v>noviembre</v>
      </c>
      <c r="D3958" s="57" t="str">
        <f>IFERROR(+VLOOKUP(Ventas[[#This Row],[Codigo de Producto]],Productos[#All],3,FALSE),"")</f>
        <v>Cerámica</v>
      </c>
      <c r="E3958" t="s">
        <v>691</v>
      </c>
      <c r="F3958" s="57" t="str">
        <f>IFERROR(+VLOOKUP(Ventas[[#This Row],[Codigo de Producto]],Productos[#All],4,FALSE),"")</f>
        <v>Madera Dinizia Oscuro</v>
      </c>
      <c r="G3958">
        <v>18</v>
      </c>
      <c r="H3958">
        <v>240</v>
      </c>
      <c r="I3958" s="57">
        <f>IF(Ventas[[#This Row],[Cantidad]]="","",+Ventas[[#This Row],[Cantidad]]*Ventas[[#This Row],[Precio]])</f>
        <v>4320</v>
      </c>
      <c r="J3958" s="57" t="str">
        <f>IFERROR(+VLOOKUP(Ventas[[#This Row],[Codigo de Producto]],Productos[#All],2,FALSE),"")</f>
        <v>Comasa</v>
      </c>
      <c r="K3958" s="57">
        <f>IFERROR(+VLOOKUP(Ventas[[#This Row],[Codigo de Producto]],Productos[#All],9,FALSE),"")</f>
        <v>212</v>
      </c>
      <c r="M3958" s="57">
        <f t="shared" ref="M3958:M3989" si="1270">+IF(K3958=0,(""),(K3958*G3958))</f>
        <v>3816</v>
      </c>
      <c r="N3958" s="57">
        <f t="shared" ref="N3958:N3989" si="1271">+IF(K3958=0,(""),(I3958-M3958))</f>
        <v>504</v>
      </c>
    </row>
    <row r="3959" spans="1:14" x14ac:dyDescent="0.25">
      <c r="A3959">
        <v>196</v>
      </c>
      <c r="B3959" s="1">
        <v>44154</v>
      </c>
      <c r="C3959" s="57" t="str">
        <f>IF(Ventas[[#This Row],[Fecha ]]="","",+TEXT(B3959,"mmmm"))</f>
        <v>noviembre</v>
      </c>
      <c r="D3959" s="57" t="str">
        <f>IFERROR(+VLOOKUP(Ventas[[#This Row],[Codigo de Producto]],Productos[#All],3,FALSE),"")</f>
        <v>Porcelana</v>
      </c>
      <c r="E3959" t="s">
        <v>708</v>
      </c>
      <c r="F3959" s="57" t="str">
        <f>IFERROR(+VLOOKUP(Ventas[[#This Row],[Codigo de Producto]],Productos[#All],4,FALSE),"")</f>
        <v xml:space="preserve">Porcelana Maya </v>
      </c>
      <c r="G3959">
        <v>1</v>
      </c>
      <c r="H3959">
        <v>60</v>
      </c>
      <c r="I3959" s="57">
        <f>IF(Ventas[[#This Row],[Cantidad]]="","",+Ventas[[#This Row],[Cantidad]]*Ventas[[#This Row],[Precio]])</f>
        <v>60</v>
      </c>
      <c r="J3959" s="57" t="str">
        <f>IFERROR(+VLOOKUP(Ventas[[#This Row],[Codigo de Producto]],Productos[#All],2,FALSE),"")</f>
        <v>Martinez</v>
      </c>
      <c r="K3959" s="57">
        <f>IFERROR(+VLOOKUP(Ventas[[#This Row],[Codigo de Producto]],Productos[#All],9,FALSE),"")</f>
        <v>33.333333333333336</v>
      </c>
      <c r="M3959" s="57">
        <f t="shared" si="1270"/>
        <v>33.333333333333336</v>
      </c>
      <c r="N3959" s="57">
        <f t="shared" si="1271"/>
        <v>26.666666666666664</v>
      </c>
    </row>
    <row r="3960" spans="1:14" x14ac:dyDescent="0.25">
      <c r="A3960">
        <v>197</v>
      </c>
      <c r="B3960" s="1">
        <v>44154</v>
      </c>
      <c r="C3960" s="57" t="str">
        <f>IF(Ventas[[#This Row],[Fecha ]]="","",+TEXT(B3960,"mmmm"))</f>
        <v>noviembre</v>
      </c>
      <c r="D3960" s="57" t="str">
        <f>IFERROR(+VLOOKUP(Ventas[[#This Row],[Codigo de Producto]],Productos[#All],3,FALSE),"")</f>
        <v>Fachaleta</v>
      </c>
      <c r="E3960" t="s">
        <v>846</v>
      </c>
      <c r="F3960" s="57" t="str">
        <f>IFERROR(+VLOOKUP(Ventas[[#This Row],[Codigo de Producto]],Productos[#All],4,FALSE),"")</f>
        <v>Creta Marrón</v>
      </c>
      <c r="G3960">
        <f>1/9*1.19</f>
        <v>0.13222222222222221</v>
      </c>
      <c r="H3960">
        <v>430</v>
      </c>
      <c r="I3960" s="57">
        <f>IF(Ventas[[#This Row],[Cantidad]]="","",+Ventas[[#This Row],[Cantidad]]*Ventas[[#This Row],[Precio]])</f>
        <v>56.855555555555554</v>
      </c>
      <c r="J3960" s="57" t="str">
        <f>IFERROR(+VLOOKUP(Ventas[[#This Row],[Codigo de Producto]],Productos[#All],2,FALSE),"")</f>
        <v>Dispiasa</v>
      </c>
      <c r="K3960" s="57">
        <f>IFERROR(+VLOOKUP(Ventas[[#This Row],[Codigo de Producto]],Productos[#All],9,FALSE),"")</f>
        <v>335</v>
      </c>
      <c r="M3960" s="57">
        <f t="shared" si="1270"/>
        <v>44.294444444444444</v>
      </c>
      <c r="N3960" s="57">
        <f t="shared" si="1271"/>
        <v>12.56111111111111</v>
      </c>
    </row>
    <row r="3961" spans="1:14" x14ac:dyDescent="0.25">
      <c r="A3961">
        <v>198</v>
      </c>
      <c r="B3961" s="1">
        <v>44154</v>
      </c>
      <c r="C3961" s="57" t="str">
        <f>IF(Ventas[[#This Row],[Fecha ]]="","",+TEXT(B3961,"mmmm"))</f>
        <v>noviembre</v>
      </c>
      <c r="D3961" s="57" t="str">
        <f>IFERROR(+VLOOKUP(Ventas[[#This Row],[Codigo de Producto]],Productos[#All],3,FALSE),"")</f>
        <v>Cerámica</v>
      </c>
      <c r="E3961" t="s">
        <v>693</v>
      </c>
      <c r="F3961" s="57" t="str">
        <f>IFERROR(+VLOOKUP(Ventas[[#This Row],[Codigo de Producto]],Productos[#All],4,FALSE),"")</f>
        <v>Madera Dinizia Claro</v>
      </c>
      <c r="G3961">
        <v>3</v>
      </c>
      <c r="H3961">
        <v>240</v>
      </c>
      <c r="I3961" s="57">
        <f>IF(Ventas[[#This Row],[Cantidad]]="","",+Ventas[[#This Row],[Cantidad]]*Ventas[[#This Row],[Precio]])</f>
        <v>720</v>
      </c>
      <c r="J3961" s="57" t="str">
        <f>IFERROR(+VLOOKUP(Ventas[[#This Row],[Codigo de Producto]],Productos[#All],2,FALSE),"")</f>
        <v>Comasa</v>
      </c>
      <c r="K3961" s="57">
        <f>IFERROR(+VLOOKUP(Ventas[[#This Row],[Codigo de Producto]],Productos[#All],9,FALSE),"")</f>
        <v>212</v>
      </c>
      <c r="M3961" s="57">
        <f t="shared" si="1270"/>
        <v>636</v>
      </c>
      <c r="N3961" s="57">
        <f t="shared" si="1271"/>
        <v>84</v>
      </c>
    </row>
    <row r="3962" spans="1:14" x14ac:dyDescent="0.25">
      <c r="A3962">
        <v>199</v>
      </c>
      <c r="B3962" s="1">
        <v>44154</v>
      </c>
      <c r="C3962" s="57" t="str">
        <f>IF(Ventas[[#This Row],[Fecha ]]="","",+TEXT(B3962,"mmmm"))</f>
        <v>noviembre</v>
      </c>
      <c r="D3962" s="57" t="str">
        <f>IFERROR(+VLOOKUP(Ventas[[#This Row],[Codigo de Producto]],Productos[#All],3,FALSE),"")</f>
        <v>Cerámica</v>
      </c>
      <c r="E3962" t="s">
        <v>646</v>
      </c>
      <c r="F3962" s="57" t="str">
        <f>IFERROR(+VLOOKUP(Ventas[[#This Row],[Codigo de Producto]],Productos[#All],4,FALSE),"")</f>
        <v>Zacatepec Marrón</v>
      </c>
      <c r="G3962">
        <v>1.5</v>
      </c>
      <c r="H3962">
        <v>250</v>
      </c>
      <c r="I3962" s="57">
        <f>IF(Ventas[[#This Row],[Cantidad]]="","",+Ventas[[#This Row],[Cantidad]]*Ventas[[#This Row],[Precio]])</f>
        <v>375</v>
      </c>
      <c r="J3962" s="57" t="str">
        <f>IFERROR(+VLOOKUP(Ventas[[#This Row],[Codigo de Producto]],Productos[#All],2,FALSE),"")</f>
        <v>Dispiasa</v>
      </c>
      <c r="K3962" s="57">
        <f>IFERROR(+VLOOKUP(Ventas[[#This Row],[Codigo de Producto]],Productos[#All],9,FALSE),"")</f>
        <v>219</v>
      </c>
      <c r="M3962" s="57">
        <f t="shared" si="1270"/>
        <v>328.5</v>
      </c>
      <c r="N3962" s="57">
        <f t="shared" si="1271"/>
        <v>46.5</v>
      </c>
    </row>
    <row r="3963" spans="1:14" x14ac:dyDescent="0.25">
      <c r="A3963">
        <v>200</v>
      </c>
      <c r="B3963" s="1">
        <v>44154</v>
      </c>
      <c r="C3963" s="57" t="str">
        <f>IF(Ventas[[#This Row],[Fecha ]]="","",+TEXT(B3963,"mmmm"))</f>
        <v>noviembre</v>
      </c>
      <c r="D3963" s="57" t="str">
        <f>IFERROR(+VLOOKUP(Ventas[[#This Row],[Codigo de Producto]],Productos[#All],3,FALSE),"")</f>
        <v>Cerámica</v>
      </c>
      <c r="E3963" t="s">
        <v>691</v>
      </c>
      <c r="F3963" s="57" t="str">
        <f>IFERROR(+VLOOKUP(Ventas[[#This Row],[Codigo de Producto]],Productos[#All],4,FALSE),"")</f>
        <v>Madera Dinizia Oscuro</v>
      </c>
      <c r="G3963">
        <v>5</v>
      </c>
      <c r="H3963">
        <v>240</v>
      </c>
      <c r="I3963" s="57">
        <f>IF(Ventas[[#This Row],[Cantidad]]="","",+Ventas[[#This Row],[Cantidad]]*Ventas[[#This Row],[Precio]])</f>
        <v>1200</v>
      </c>
      <c r="J3963" s="57" t="str">
        <f>IFERROR(+VLOOKUP(Ventas[[#This Row],[Codigo de Producto]],Productos[#All],2,FALSE),"")</f>
        <v>Comasa</v>
      </c>
      <c r="K3963" s="57">
        <f>IFERROR(+VLOOKUP(Ventas[[#This Row],[Codigo de Producto]],Productos[#All],9,FALSE),"")</f>
        <v>212</v>
      </c>
      <c r="M3963" s="57">
        <f t="shared" si="1270"/>
        <v>1060</v>
      </c>
      <c r="N3963" s="57">
        <f t="shared" si="1271"/>
        <v>140</v>
      </c>
    </row>
    <row r="3964" spans="1:14" x14ac:dyDescent="0.25">
      <c r="A3964">
        <v>201</v>
      </c>
      <c r="B3964" s="1">
        <v>44154</v>
      </c>
      <c r="C3964" s="57" t="str">
        <f>IF(Ventas[[#This Row],[Fecha ]]="","",+TEXT(B3964,"mmmm"))</f>
        <v>noviembre</v>
      </c>
      <c r="D3964" s="57" t="str">
        <f>IFERROR(+VLOOKUP(Ventas[[#This Row],[Codigo de Producto]],Productos[#All],3,FALSE),"")</f>
        <v>Inodoro</v>
      </c>
      <c r="E3964" t="s">
        <v>618</v>
      </c>
      <c r="F3964" s="57" t="str">
        <f>IFERROR(+VLOOKUP(Ventas[[#This Row],[Codigo de Producto]],Productos[#All],4,FALSE),"")</f>
        <v>Inodoro Aqua Blanco</v>
      </c>
      <c r="G3964">
        <v>1</v>
      </c>
      <c r="H3964">
        <v>1650</v>
      </c>
      <c r="I3964" s="57">
        <f>IF(Ventas[[#This Row],[Cantidad]]="","",+Ventas[[#This Row],[Cantidad]]*Ventas[[#This Row],[Precio]])</f>
        <v>1650</v>
      </c>
      <c r="J3964" s="57" t="str">
        <f>IFERROR(+VLOOKUP(Ventas[[#This Row],[Codigo de Producto]],Productos[#All],2,FALSE),"")</f>
        <v>Dispiasa</v>
      </c>
      <c r="K3964" s="57">
        <f>IFERROR(+VLOOKUP(Ventas[[#This Row],[Codigo de Producto]],Productos[#All],9,FALSE),"")</f>
        <v>1440</v>
      </c>
      <c r="M3964" s="57">
        <f t="shared" si="1270"/>
        <v>1440</v>
      </c>
      <c r="N3964" s="57">
        <f t="shared" si="1271"/>
        <v>210</v>
      </c>
    </row>
    <row r="3965" spans="1:14" x14ac:dyDescent="0.25">
      <c r="A3965">
        <v>202</v>
      </c>
      <c r="B3965" s="1">
        <v>44154</v>
      </c>
      <c r="C3965" s="57" t="str">
        <f>IF(Ventas[[#This Row],[Fecha ]]="","",+TEXT(B3965,"mmmm"))</f>
        <v>noviembre</v>
      </c>
      <c r="D3965" s="57" t="str">
        <f>IFERROR(+VLOOKUP(Ventas[[#This Row],[Codigo de Producto]],Productos[#All],3,FALSE),"")</f>
        <v>Inodoro</v>
      </c>
      <c r="E3965" t="s">
        <v>618</v>
      </c>
      <c r="F3965" s="57" t="str">
        <f>IFERROR(+VLOOKUP(Ventas[[#This Row],[Codigo de Producto]],Productos[#All],4,FALSE),"")</f>
        <v>Inodoro Aqua Blanco</v>
      </c>
      <c r="G3965">
        <v>1</v>
      </c>
      <c r="H3965">
        <v>1650</v>
      </c>
      <c r="I3965" s="57">
        <f>IF(Ventas[[#This Row],[Cantidad]]="","",+Ventas[[#This Row],[Cantidad]]*Ventas[[#This Row],[Precio]])</f>
        <v>1650</v>
      </c>
      <c r="J3965" s="57" t="str">
        <f>IFERROR(+VLOOKUP(Ventas[[#This Row],[Codigo de Producto]],Productos[#All],2,FALSE),"")</f>
        <v>Dispiasa</v>
      </c>
      <c r="K3965" s="57">
        <f>IFERROR(+VLOOKUP(Ventas[[#This Row],[Codigo de Producto]],Productos[#All],9,FALSE),"")</f>
        <v>1440</v>
      </c>
      <c r="M3965" s="57">
        <f t="shared" si="1270"/>
        <v>1440</v>
      </c>
      <c r="N3965" s="57">
        <f t="shared" si="1271"/>
        <v>210</v>
      </c>
    </row>
    <row r="3966" spans="1:14" x14ac:dyDescent="0.25">
      <c r="A3966">
        <v>203</v>
      </c>
      <c r="B3966" s="1">
        <v>44154</v>
      </c>
      <c r="C3966" s="57" t="str">
        <f>IF(Ventas[[#This Row],[Fecha ]]="","",+TEXT(B3966,"mmmm"))</f>
        <v>noviembre</v>
      </c>
      <c r="D3966" s="57" t="str">
        <f>IFERROR(+VLOOKUP(Ventas[[#This Row],[Codigo de Producto]],Productos[#All],3,FALSE),"")</f>
        <v>Porcelana</v>
      </c>
      <c r="E3966" t="s">
        <v>708</v>
      </c>
      <c r="F3966" s="57" t="str">
        <f>IFERROR(+VLOOKUP(Ventas[[#This Row],[Codigo de Producto]],Productos[#All],4,FALSE),"")</f>
        <v xml:space="preserve">Porcelana Maya </v>
      </c>
      <c r="G3966">
        <v>1</v>
      </c>
      <c r="H3966">
        <v>60</v>
      </c>
      <c r="I3966" s="57">
        <f>IF(Ventas[[#This Row],[Cantidad]]="","",+Ventas[[#This Row],[Cantidad]]*Ventas[[#This Row],[Precio]])</f>
        <v>60</v>
      </c>
      <c r="J3966" s="57" t="str">
        <f>IFERROR(+VLOOKUP(Ventas[[#This Row],[Codigo de Producto]],Productos[#All],2,FALSE),"")</f>
        <v>Martinez</v>
      </c>
      <c r="K3966" s="57">
        <f>IFERROR(+VLOOKUP(Ventas[[#This Row],[Codigo de Producto]],Productos[#All],9,FALSE),"")</f>
        <v>33.333333333333336</v>
      </c>
      <c r="M3966" s="57">
        <f t="shared" si="1270"/>
        <v>33.333333333333336</v>
      </c>
      <c r="N3966" s="57">
        <f t="shared" si="1271"/>
        <v>26.666666666666664</v>
      </c>
    </row>
    <row r="3967" spans="1:14" x14ac:dyDescent="0.25">
      <c r="A3967">
        <v>204</v>
      </c>
      <c r="B3967" s="1">
        <v>44154</v>
      </c>
      <c r="C3967" s="57" t="str">
        <f>IF(Ventas[[#This Row],[Fecha ]]="","",+TEXT(B3967,"mmmm"))</f>
        <v>noviembre</v>
      </c>
      <c r="D3967" s="57" t="str">
        <f>IFERROR(+VLOOKUP(Ventas[[#This Row],[Codigo de Producto]],Productos[#All],3,FALSE),"")</f>
        <v>Cerámica</v>
      </c>
      <c r="E3967" t="s">
        <v>680</v>
      </c>
      <c r="F3967" s="57" t="str">
        <f>IFERROR(+VLOOKUP(Ventas[[#This Row],[Codigo de Producto]],Productos[#All],4,FALSE),"")</f>
        <v>Sunset Beige</v>
      </c>
      <c r="G3967">
        <v>4</v>
      </c>
      <c r="H3967">
        <v>280</v>
      </c>
      <c r="I3967" s="57">
        <f>IF(Ventas[[#This Row],[Cantidad]]="","",+Ventas[[#This Row],[Cantidad]]*Ventas[[#This Row],[Precio]])</f>
        <v>1120</v>
      </c>
      <c r="J3967" s="57" t="str">
        <f>IFERROR(+VLOOKUP(Ventas[[#This Row],[Codigo de Producto]],Productos[#All],2,FALSE),"")</f>
        <v>Comasa</v>
      </c>
      <c r="K3967" s="57">
        <f>IFERROR(+VLOOKUP(Ventas[[#This Row],[Codigo de Producto]],Productos[#All],9,FALSE),"")</f>
        <v>248</v>
      </c>
      <c r="M3967" s="57">
        <f t="shared" si="1270"/>
        <v>992</v>
      </c>
      <c r="N3967" s="57">
        <f t="shared" si="1271"/>
        <v>128</v>
      </c>
    </row>
    <row r="3968" spans="1:14" x14ac:dyDescent="0.25">
      <c r="A3968">
        <v>205</v>
      </c>
      <c r="B3968" s="1">
        <v>44154</v>
      </c>
      <c r="C3968" s="57" t="str">
        <f>IF(Ventas[[#This Row],[Fecha ]]="","",+TEXT(B3968,"mmmm"))</f>
        <v>noviembre</v>
      </c>
      <c r="D3968" s="57" t="str">
        <f>IFERROR(+VLOOKUP(Ventas[[#This Row],[Codigo de Producto]],Productos[#All],3,FALSE),"")</f>
        <v>Cerámica</v>
      </c>
      <c r="E3968" t="s">
        <v>691</v>
      </c>
      <c r="F3968" s="57" t="str">
        <f>IFERROR(+VLOOKUP(Ventas[[#This Row],[Codigo de Producto]],Productos[#All],4,FALSE),"")</f>
        <v>Madera Dinizia Oscuro</v>
      </c>
      <c r="G3968">
        <v>30</v>
      </c>
      <c r="H3968">
        <v>240</v>
      </c>
      <c r="I3968" s="57">
        <f>IF(Ventas[[#This Row],[Cantidad]]="","",+Ventas[[#This Row],[Cantidad]]*Ventas[[#This Row],[Precio]])</f>
        <v>7200</v>
      </c>
      <c r="J3968" s="57" t="str">
        <f>IFERROR(+VLOOKUP(Ventas[[#This Row],[Codigo de Producto]],Productos[#All],2,FALSE),"")</f>
        <v>Comasa</v>
      </c>
      <c r="K3968" s="57">
        <f>IFERROR(+VLOOKUP(Ventas[[#This Row],[Codigo de Producto]],Productos[#All],9,FALSE),"")</f>
        <v>212</v>
      </c>
      <c r="M3968" s="57">
        <f t="shared" si="1270"/>
        <v>6360</v>
      </c>
      <c r="N3968" s="57">
        <f t="shared" si="1271"/>
        <v>840</v>
      </c>
    </row>
    <row r="3969" spans="1:14" x14ac:dyDescent="0.25">
      <c r="A3969">
        <v>206</v>
      </c>
      <c r="B3969" s="1">
        <v>44154</v>
      </c>
      <c r="C3969" s="57" t="str">
        <f>IF(Ventas[[#This Row],[Fecha ]]="","",+TEXT(B3969,"mmmm"))</f>
        <v>noviembre</v>
      </c>
      <c r="D3969" s="57" t="str">
        <f>IFERROR(+VLOOKUP(Ventas[[#This Row],[Codigo de Producto]],Productos[#All],3,FALSE),"")</f>
        <v>Porcelanato</v>
      </c>
      <c r="E3969" t="s">
        <v>694</v>
      </c>
      <c r="F3969" s="57" t="str">
        <f>IFERROR(+VLOOKUP(Ventas[[#This Row],[Codigo de Producto]],Productos[#All],4,FALSE),"")</f>
        <v>Beige Marfil</v>
      </c>
      <c r="G3969">
        <f>5/4*1.44</f>
        <v>1.7999999999999998</v>
      </c>
      <c r="H3969">
        <v>380</v>
      </c>
      <c r="I3969" s="57">
        <f>IF(Ventas[[#This Row],[Cantidad]]="","",+Ventas[[#This Row],[Cantidad]]*Ventas[[#This Row],[Precio]])</f>
        <v>683.99999999999989</v>
      </c>
      <c r="J3969" s="57" t="str">
        <f>IFERROR(+VLOOKUP(Ventas[[#This Row],[Codigo de Producto]],Productos[#All],2,FALSE),"")</f>
        <v>Halcón</v>
      </c>
      <c r="K3969" s="57">
        <f>IFERROR(+VLOOKUP(Ventas[[#This Row],[Codigo de Producto]],Productos[#All],9,FALSE),"")</f>
        <v>340</v>
      </c>
      <c r="M3969" s="57">
        <f t="shared" si="1270"/>
        <v>611.99999999999989</v>
      </c>
      <c r="N3969" s="57">
        <f t="shared" si="1271"/>
        <v>72</v>
      </c>
    </row>
    <row r="3970" spans="1:14" x14ac:dyDescent="0.25">
      <c r="A3970">
        <v>207</v>
      </c>
      <c r="B3970" s="1">
        <v>44154</v>
      </c>
      <c r="C3970" s="57" t="str">
        <f>IF(Ventas[[#This Row],[Fecha ]]="","",+TEXT(B3970,"mmmm"))</f>
        <v>noviembre</v>
      </c>
      <c r="D3970" s="57" t="str">
        <f>IFERROR(+VLOOKUP(Ventas[[#This Row],[Codigo de Producto]],Productos[#All],3,FALSE),"")</f>
        <v>Bond</v>
      </c>
      <c r="E3970" t="s">
        <v>705</v>
      </c>
      <c r="F3970" s="57" t="str">
        <f>IFERROR(+VLOOKUP(Ventas[[#This Row],[Codigo de Producto]],Productos[#All],4,FALSE),"")</f>
        <v>Bond Porcelanato Drytec</v>
      </c>
      <c r="G3970">
        <v>1</v>
      </c>
      <c r="H3970">
        <v>260</v>
      </c>
      <c r="I3970" s="57">
        <f>IF(Ventas[[#This Row],[Cantidad]]="","",+Ventas[[#This Row],[Cantidad]]*Ventas[[#This Row],[Precio]])</f>
        <v>260</v>
      </c>
      <c r="J3970" s="57" t="str">
        <f>IFERROR(+VLOOKUP(Ventas[[#This Row],[Codigo de Producto]],Productos[#All],2,FALSE),"")</f>
        <v>Comasa</v>
      </c>
      <c r="K3970" s="57">
        <f>IFERROR(+VLOOKUP(Ventas[[#This Row],[Codigo de Producto]],Productos[#All],9,FALSE),"")</f>
        <v>190</v>
      </c>
      <c r="M3970" s="57">
        <f t="shared" si="1270"/>
        <v>190</v>
      </c>
      <c r="N3970" s="57">
        <f t="shared" si="1271"/>
        <v>70</v>
      </c>
    </row>
    <row r="3971" spans="1:14" x14ac:dyDescent="0.25">
      <c r="A3971">
        <v>208</v>
      </c>
      <c r="B3971" s="1">
        <v>44154</v>
      </c>
      <c r="C3971" s="57" t="str">
        <f>IF(Ventas[[#This Row],[Fecha ]]="","",+TEXT(B3971,"mmmm"))</f>
        <v>noviembre</v>
      </c>
      <c r="D3971" s="57" t="str">
        <f>IFERROR(+VLOOKUP(Ventas[[#This Row],[Codigo de Producto]],Productos[#All],3,FALSE),"")</f>
        <v>Bond</v>
      </c>
      <c r="E3971" t="s">
        <v>704</v>
      </c>
      <c r="F3971" s="57" t="str">
        <f>IFERROR(+VLOOKUP(Ventas[[#This Row],[Codigo de Producto]],Productos[#All],4,FALSE),"")</f>
        <v>Drytec Bond Plus</v>
      </c>
      <c r="G3971">
        <v>4</v>
      </c>
      <c r="H3971">
        <v>155</v>
      </c>
      <c r="I3971" s="57">
        <f>IF(Ventas[[#This Row],[Cantidad]]="","",+Ventas[[#This Row],[Cantidad]]*Ventas[[#This Row],[Precio]])</f>
        <v>620</v>
      </c>
      <c r="J3971" s="57" t="str">
        <f>IFERROR(+VLOOKUP(Ventas[[#This Row],[Codigo de Producto]],Productos[#All],2,FALSE),"")</f>
        <v>Comasa</v>
      </c>
      <c r="K3971" s="57">
        <f>IFERROR(+VLOOKUP(Ventas[[#This Row],[Codigo de Producto]],Productos[#All],9,FALSE),"")</f>
        <v>127</v>
      </c>
      <c r="M3971" s="57">
        <f t="shared" si="1270"/>
        <v>508</v>
      </c>
      <c r="N3971" s="57">
        <f t="shared" si="1271"/>
        <v>112</v>
      </c>
    </row>
    <row r="3972" spans="1:14" x14ac:dyDescent="0.25">
      <c r="A3972">
        <v>209</v>
      </c>
      <c r="B3972" s="1">
        <v>44154</v>
      </c>
      <c r="C3972" s="57" t="str">
        <f>IF(Ventas[[#This Row],[Fecha ]]="","",+TEXT(B3972,"mmmm"))</f>
        <v>noviembre</v>
      </c>
      <c r="D3972" s="57" t="str">
        <f>IFERROR(+VLOOKUP(Ventas[[#This Row],[Codigo de Producto]],Productos[#All],3,FALSE),"")</f>
        <v>Cerámica</v>
      </c>
      <c r="E3972" t="s">
        <v>663</v>
      </c>
      <c r="F3972" s="57" t="str">
        <f>IFERROR(+VLOOKUP(Ventas[[#This Row],[Codigo de Producto]],Productos[#All],4,FALSE),"")</f>
        <v>Mosaico Verde</v>
      </c>
      <c r="G3972">
        <v>2</v>
      </c>
      <c r="H3972">
        <v>300</v>
      </c>
      <c r="I3972" s="57">
        <f>IF(Ventas[[#This Row],[Cantidad]]="","",+Ventas[[#This Row],[Cantidad]]*Ventas[[#This Row],[Precio]])</f>
        <v>600</v>
      </c>
      <c r="J3972" s="57" t="str">
        <f>IFERROR(+VLOOKUP(Ventas[[#This Row],[Codigo de Producto]],Productos[#All],2,FALSE),"")</f>
        <v>Dispiasa</v>
      </c>
      <c r="K3972" s="57">
        <f>IFERROR(+VLOOKUP(Ventas[[#This Row],[Codigo de Producto]],Productos[#All],9,FALSE),"")</f>
        <v>268</v>
      </c>
      <c r="M3972" s="57">
        <f t="shared" si="1270"/>
        <v>536</v>
      </c>
      <c r="N3972" s="57">
        <f t="shared" si="1271"/>
        <v>64</v>
      </c>
    </row>
    <row r="3973" spans="1:14" x14ac:dyDescent="0.25">
      <c r="A3973">
        <v>210</v>
      </c>
      <c r="B3973" s="1">
        <v>44154</v>
      </c>
      <c r="C3973" s="57" t="str">
        <f>IF(Ventas[[#This Row],[Fecha ]]="","",+TEXT(B3973,"mmmm"))</f>
        <v>noviembre</v>
      </c>
      <c r="D3973" s="57" t="str">
        <f>IFERROR(+VLOOKUP(Ventas[[#This Row],[Codigo de Producto]],Productos[#All],3,FALSE),"")</f>
        <v>Porcelana</v>
      </c>
      <c r="E3973" t="s">
        <v>708</v>
      </c>
      <c r="F3973" s="57" t="str">
        <f>IFERROR(+VLOOKUP(Ventas[[#This Row],[Codigo de Producto]],Productos[#All],4,FALSE),"")</f>
        <v xml:space="preserve">Porcelana Maya </v>
      </c>
      <c r="G3973">
        <v>6</v>
      </c>
      <c r="H3973">
        <v>60</v>
      </c>
      <c r="I3973" s="57">
        <f>IF(Ventas[[#This Row],[Cantidad]]="","",+Ventas[[#This Row],[Cantidad]]*Ventas[[#This Row],[Precio]])</f>
        <v>360</v>
      </c>
      <c r="J3973" s="57" t="str">
        <f>IFERROR(+VLOOKUP(Ventas[[#This Row],[Codigo de Producto]],Productos[#All],2,FALSE),"")</f>
        <v>Martinez</v>
      </c>
      <c r="K3973" s="57">
        <f>IFERROR(+VLOOKUP(Ventas[[#This Row],[Codigo de Producto]],Productos[#All],9,FALSE),"")</f>
        <v>33.333333333333336</v>
      </c>
      <c r="M3973" s="57">
        <f t="shared" si="1270"/>
        <v>200</v>
      </c>
      <c r="N3973" s="57">
        <f t="shared" si="1271"/>
        <v>160</v>
      </c>
    </row>
    <row r="3974" spans="1:14" x14ac:dyDescent="0.25">
      <c r="A3974">
        <v>211</v>
      </c>
      <c r="B3974" s="1">
        <v>44154</v>
      </c>
      <c r="C3974" s="57" t="str">
        <f>IF(Ventas[[#This Row],[Fecha ]]="","",+TEXT(B3974,"mmmm"))</f>
        <v>noviembre</v>
      </c>
      <c r="D3974" s="57" t="str">
        <f>IFERROR(+VLOOKUP(Ventas[[#This Row],[Codigo de Producto]],Productos[#All],3,FALSE),"")</f>
        <v>Porcelana</v>
      </c>
      <c r="E3974" t="s">
        <v>708</v>
      </c>
      <c r="F3974" s="57" t="str">
        <f>IFERROR(+VLOOKUP(Ventas[[#This Row],[Codigo de Producto]],Productos[#All],4,FALSE),"")</f>
        <v xml:space="preserve">Porcelana Maya </v>
      </c>
      <c r="G3974">
        <v>1</v>
      </c>
      <c r="H3974">
        <v>60</v>
      </c>
      <c r="I3974" s="57">
        <f>IF(Ventas[[#This Row],[Cantidad]]="","",+Ventas[[#This Row],[Cantidad]]*Ventas[[#This Row],[Precio]])</f>
        <v>60</v>
      </c>
      <c r="J3974" s="57" t="str">
        <f>IFERROR(+VLOOKUP(Ventas[[#This Row],[Codigo de Producto]],Productos[#All],2,FALSE),"")</f>
        <v>Martinez</v>
      </c>
      <c r="K3974" s="57">
        <f>IFERROR(+VLOOKUP(Ventas[[#This Row],[Codigo de Producto]],Productos[#All],9,FALSE),"")</f>
        <v>33.333333333333336</v>
      </c>
      <c r="M3974" s="57">
        <f t="shared" si="1270"/>
        <v>33.333333333333336</v>
      </c>
      <c r="N3974" s="57">
        <f t="shared" si="1271"/>
        <v>26.666666666666664</v>
      </c>
    </row>
    <row r="3975" spans="1:14" x14ac:dyDescent="0.25">
      <c r="A3975">
        <v>212</v>
      </c>
      <c r="B3975" s="1">
        <v>44155</v>
      </c>
      <c r="C3975" s="57" t="str">
        <f>IF(Ventas[[#This Row],[Fecha ]]="","",+TEXT(B3975,"mmmm"))</f>
        <v>noviembre</v>
      </c>
      <c r="D3975" s="57" t="str">
        <f>IFERROR(+VLOOKUP(Ventas[[#This Row],[Codigo de Producto]],Productos[#All],3,FALSE),"")</f>
        <v>Azulejos</v>
      </c>
      <c r="E3975" t="s">
        <v>852</v>
      </c>
      <c r="F3975" s="57" t="str">
        <f>IFERROR(+VLOOKUP(Ventas[[#This Row],[Codigo de Producto]],Productos[#All],4,FALSE),"")</f>
        <v>Primavera Azul Liso</v>
      </c>
      <c r="G3975">
        <v>2</v>
      </c>
      <c r="H3975">
        <v>300</v>
      </c>
      <c r="I3975" s="57">
        <f>IF(Ventas[[#This Row],[Cantidad]]="","",+Ventas[[#This Row],[Cantidad]]*Ventas[[#This Row],[Precio]])</f>
        <v>600</v>
      </c>
      <c r="J3975" s="57" t="str">
        <f>IFERROR(+VLOOKUP(Ventas[[#This Row],[Codigo de Producto]],Productos[#All],2,FALSE),"")</f>
        <v>Dispiasa</v>
      </c>
      <c r="K3975" s="57">
        <f>IFERROR(+VLOOKUP(Ventas[[#This Row],[Codigo de Producto]],Productos[#All],9,FALSE),"")</f>
        <v>268</v>
      </c>
      <c r="M3975" s="57">
        <f t="shared" si="1270"/>
        <v>536</v>
      </c>
      <c r="N3975" s="57">
        <f t="shared" si="1271"/>
        <v>64</v>
      </c>
    </row>
    <row r="3976" spans="1:14" x14ac:dyDescent="0.25">
      <c r="A3976">
        <v>213</v>
      </c>
      <c r="B3976" s="1">
        <v>44155</v>
      </c>
      <c r="C3976" s="57" t="str">
        <f>IF(Ventas[[#This Row],[Fecha ]]="","",+TEXT(B3976,"mmmm"))</f>
        <v>noviembre</v>
      </c>
      <c r="D3976" s="57" t="str">
        <f>IFERROR(+VLOOKUP(Ventas[[#This Row],[Codigo de Producto]],Productos[#All],3,FALSE),"")</f>
        <v>Azulejos</v>
      </c>
      <c r="E3976" t="s">
        <v>742</v>
      </c>
      <c r="F3976" s="57" t="str">
        <f>IFERROR(+VLOOKUP(Ventas[[#This Row],[Codigo de Producto]],Productos[#All],4,FALSE),"")</f>
        <v>Palenque Azul Liso</v>
      </c>
      <c r="G3976">
        <v>14</v>
      </c>
      <c r="H3976">
        <v>290</v>
      </c>
      <c r="I3976" s="57">
        <f>IF(Ventas[[#This Row],[Cantidad]]="","",+Ventas[[#This Row],[Cantidad]]*Ventas[[#This Row],[Precio]])</f>
        <v>4060</v>
      </c>
      <c r="J3976" s="57" t="str">
        <f>IFERROR(+VLOOKUP(Ventas[[#This Row],[Codigo de Producto]],Productos[#All],2,FALSE),"")</f>
        <v>Dispiasa</v>
      </c>
      <c r="K3976" s="57">
        <f>IFERROR(+VLOOKUP(Ventas[[#This Row],[Codigo de Producto]],Productos[#All],9,FALSE),"")</f>
        <v>256</v>
      </c>
      <c r="M3976" s="57">
        <f t="shared" si="1270"/>
        <v>3584</v>
      </c>
      <c r="N3976" s="57">
        <f t="shared" si="1271"/>
        <v>476</v>
      </c>
    </row>
    <row r="3977" spans="1:14" x14ac:dyDescent="0.25">
      <c r="A3977">
        <v>214</v>
      </c>
      <c r="B3977" s="1">
        <v>44155</v>
      </c>
      <c r="C3977" s="57" t="str">
        <f>IF(Ventas[[#This Row],[Fecha ]]="","",+TEXT(B3977,"mmmm"))</f>
        <v>noviembre</v>
      </c>
      <c r="D3977" s="57" t="str">
        <f>IFERROR(+VLOOKUP(Ventas[[#This Row],[Codigo de Producto]],Productos[#All],3,FALSE),"")</f>
        <v>Cerámica</v>
      </c>
      <c r="E3977" t="s">
        <v>679</v>
      </c>
      <c r="F3977" s="57" t="str">
        <f>IFERROR(+VLOOKUP(Ventas[[#This Row],[Codigo de Producto]],Productos[#All],4,FALSE),"")</f>
        <v>Rio Gris Granilla</v>
      </c>
      <c r="G3977">
        <v>3.3</v>
      </c>
      <c r="H3977">
        <v>250</v>
      </c>
      <c r="I3977" s="57">
        <f>IF(Ventas[[#This Row],[Cantidad]]="","",+Ventas[[#This Row],[Cantidad]]*Ventas[[#This Row],[Precio]])</f>
        <v>825</v>
      </c>
      <c r="J3977" s="57" t="str">
        <f>IFERROR(+VLOOKUP(Ventas[[#This Row],[Codigo de Producto]],Productos[#All],2,FALSE),"")</f>
        <v>Dispiasa</v>
      </c>
      <c r="K3977" s="57">
        <f>IFERROR(+VLOOKUP(Ventas[[#This Row],[Codigo de Producto]],Productos[#All],9,FALSE),"")</f>
        <v>210</v>
      </c>
      <c r="M3977" s="57">
        <f t="shared" si="1270"/>
        <v>693</v>
      </c>
      <c r="N3977" s="57">
        <f t="shared" si="1271"/>
        <v>132</v>
      </c>
    </row>
    <row r="3978" spans="1:14" x14ac:dyDescent="0.25">
      <c r="A3978">
        <v>215</v>
      </c>
      <c r="B3978" s="1">
        <v>44155</v>
      </c>
      <c r="C3978" s="57" t="str">
        <f>IF(Ventas[[#This Row],[Fecha ]]="","",+TEXT(B3978,"mmmm"))</f>
        <v>noviembre</v>
      </c>
      <c r="D3978" s="57" t="str">
        <f>IFERROR(+VLOOKUP(Ventas[[#This Row],[Codigo de Producto]],Productos[#All],3,FALSE),"")</f>
        <v>Porcelana</v>
      </c>
      <c r="E3978" t="s">
        <v>708</v>
      </c>
      <c r="F3978" s="57" t="str">
        <f>IFERROR(+VLOOKUP(Ventas[[#This Row],[Codigo de Producto]],Productos[#All],4,FALSE),"")</f>
        <v xml:space="preserve">Porcelana Maya </v>
      </c>
      <c r="G3978">
        <v>1</v>
      </c>
      <c r="H3978">
        <v>60</v>
      </c>
      <c r="I3978" s="57">
        <f>IF(Ventas[[#This Row],[Cantidad]]="","",+Ventas[[#This Row],[Cantidad]]*Ventas[[#This Row],[Precio]])</f>
        <v>60</v>
      </c>
      <c r="J3978" s="57" t="str">
        <f>IFERROR(+VLOOKUP(Ventas[[#This Row],[Codigo de Producto]],Productos[#All],2,FALSE),"")</f>
        <v>Martinez</v>
      </c>
      <c r="K3978" s="57">
        <f>IFERROR(+VLOOKUP(Ventas[[#This Row],[Codigo de Producto]],Productos[#All],9,FALSE),"")</f>
        <v>33.333333333333336</v>
      </c>
      <c r="M3978" s="57">
        <f t="shared" si="1270"/>
        <v>33.333333333333336</v>
      </c>
      <c r="N3978" s="57">
        <f t="shared" si="1271"/>
        <v>26.666666666666664</v>
      </c>
    </row>
    <row r="3979" spans="1:14" x14ac:dyDescent="0.25">
      <c r="A3979">
        <v>216</v>
      </c>
      <c r="B3979" s="1">
        <v>44155</v>
      </c>
      <c r="C3979" s="57" t="str">
        <f>IF(Ventas[[#This Row],[Fecha ]]="","",+TEXT(B3979,"mmmm"))</f>
        <v>noviembre</v>
      </c>
      <c r="D3979" s="57" t="str">
        <f>IFERROR(+VLOOKUP(Ventas[[#This Row],[Codigo de Producto]],Productos[#All],3,FALSE),"")</f>
        <v>Bond</v>
      </c>
      <c r="E3979" t="s">
        <v>704</v>
      </c>
      <c r="F3979" s="57" t="str">
        <f>IFERROR(+VLOOKUP(Ventas[[#This Row],[Codigo de Producto]],Productos[#All],4,FALSE),"")</f>
        <v>Drytec Bond Plus</v>
      </c>
      <c r="G3979">
        <v>1</v>
      </c>
      <c r="H3979">
        <v>155</v>
      </c>
      <c r="I3979" s="57">
        <f>IF(Ventas[[#This Row],[Cantidad]]="","",+Ventas[[#This Row],[Cantidad]]*Ventas[[#This Row],[Precio]])</f>
        <v>155</v>
      </c>
      <c r="J3979" s="57" t="str">
        <f>IFERROR(+VLOOKUP(Ventas[[#This Row],[Codigo de Producto]],Productos[#All],2,FALSE),"")</f>
        <v>Comasa</v>
      </c>
      <c r="K3979" s="57">
        <f>IFERROR(+VLOOKUP(Ventas[[#This Row],[Codigo de Producto]],Productos[#All],9,FALSE),"")</f>
        <v>127</v>
      </c>
      <c r="M3979" s="57">
        <f t="shared" si="1270"/>
        <v>127</v>
      </c>
      <c r="N3979" s="57">
        <f t="shared" si="1271"/>
        <v>28</v>
      </c>
    </row>
    <row r="3980" spans="1:14" x14ac:dyDescent="0.25">
      <c r="A3980">
        <v>217</v>
      </c>
      <c r="B3980" s="1">
        <v>44155</v>
      </c>
      <c r="C3980" s="57" t="str">
        <f>IF(Ventas[[#This Row],[Fecha ]]="","",+TEXT(B3980,"mmmm"))</f>
        <v>noviembre</v>
      </c>
      <c r="D3980" s="57" t="str">
        <f>IFERROR(+VLOOKUP(Ventas[[#This Row],[Codigo de Producto]],Productos[#All],3,FALSE),"")</f>
        <v>Bond</v>
      </c>
      <c r="E3980" t="s">
        <v>704</v>
      </c>
      <c r="F3980" s="57" t="str">
        <f>IFERROR(+VLOOKUP(Ventas[[#This Row],[Codigo de Producto]],Productos[#All],4,FALSE),"")</f>
        <v>Drytec Bond Plus</v>
      </c>
      <c r="G3980">
        <v>6</v>
      </c>
      <c r="H3980">
        <v>155</v>
      </c>
      <c r="I3980" s="57">
        <f>IF(Ventas[[#This Row],[Cantidad]]="","",+Ventas[[#This Row],[Cantidad]]*Ventas[[#This Row],[Precio]])</f>
        <v>930</v>
      </c>
      <c r="J3980" s="57" t="str">
        <f>IFERROR(+VLOOKUP(Ventas[[#This Row],[Codigo de Producto]],Productos[#All],2,FALSE),"")</f>
        <v>Comasa</v>
      </c>
      <c r="K3980" s="57">
        <f>IFERROR(+VLOOKUP(Ventas[[#This Row],[Codigo de Producto]],Productos[#All],9,FALSE),"")</f>
        <v>127</v>
      </c>
      <c r="M3980" s="57">
        <f t="shared" si="1270"/>
        <v>762</v>
      </c>
      <c r="N3980" s="57">
        <f t="shared" si="1271"/>
        <v>168</v>
      </c>
    </row>
    <row r="3981" spans="1:14" x14ac:dyDescent="0.25">
      <c r="A3981">
        <v>218</v>
      </c>
      <c r="B3981" s="1">
        <v>44155</v>
      </c>
      <c r="C3981" s="57" t="str">
        <f>IF(Ventas[[#This Row],[Fecha ]]="","",+TEXT(B3981,"mmmm"))</f>
        <v>noviembre</v>
      </c>
      <c r="D3981" s="57" t="str">
        <f>IFERROR(+VLOOKUP(Ventas[[#This Row],[Codigo de Producto]],Productos[#All],3,FALSE),"")</f>
        <v>Inodoro</v>
      </c>
      <c r="E3981" t="s">
        <v>621</v>
      </c>
      <c r="F3981" s="57" t="str">
        <f>IFERROR(+VLOOKUP(Ventas[[#This Row],[Codigo de Producto]],Productos[#All],4,FALSE),"")</f>
        <v>Inodoro Ecoline Day Dream</v>
      </c>
      <c r="G3981">
        <v>1</v>
      </c>
      <c r="H3981">
        <v>1850</v>
      </c>
      <c r="I3981" s="57">
        <f>IF(Ventas[[#This Row],[Cantidad]]="","",+Ventas[[#This Row],[Cantidad]]*Ventas[[#This Row],[Precio]])</f>
        <v>1850</v>
      </c>
      <c r="J3981" s="57" t="str">
        <f>IFERROR(+VLOOKUP(Ventas[[#This Row],[Codigo de Producto]],Productos[#All],2,FALSE),"")</f>
        <v>Dispiasa</v>
      </c>
      <c r="K3981" s="57">
        <f>IFERROR(+VLOOKUP(Ventas[[#This Row],[Codigo de Producto]],Productos[#All],9,FALSE),"")</f>
        <v>1630</v>
      </c>
      <c r="M3981" s="57">
        <f t="shared" si="1270"/>
        <v>1630</v>
      </c>
      <c r="N3981" s="57">
        <f t="shared" si="1271"/>
        <v>220</v>
      </c>
    </row>
    <row r="3982" spans="1:14" x14ac:dyDescent="0.25">
      <c r="A3982">
        <v>219</v>
      </c>
      <c r="B3982" s="1">
        <v>44155</v>
      </c>
      <c r="C3982" s="57" t="str">
        <f>IF(Ventas[[#This Row],[Fecha ]]="","",+TEXT(B3982,"mmmm"))</f>
        <v>noviembre</v>
      </c>
      <c r="D3982" s="57" t="str">
        <f>IFERROR(+VLOOKUP(Ventas[[#This Row],[Codigo de Producto]],Productos[#All],3,FALSE),"")</f>
        <v>Lavamano</v>
      </c>
      <c r="E3982" t="s">
        <v>855</v>
      </c>
      <c r="F3982" s="57" t="str">
        <f>IFERROR(+VLOOKUP(Ventas[[#This Row],[Codigo de Producto]],Productos[#All],4,FALSE),"")</f>
        <v>Lavamano Ecoline Day Dream</v>
      </c>
      <c r="G3982">
        <v>1</v>
      </c>
      <c r="H3982">
        <v>1450</v>
      </c>
      <c r="I3982" s="57">
        <f>IF(Ventas[[#This Row],[Cantidad]]="","",+Ventas[[#This Row],[Cantidad]]*Ventas[[#This Row],[Precio]])</f>
        <v>1450</v>
      </c>
      <c r="J3982" s="57" t="str">
        <f>IFERROR(+VLOOKUP(Ventas[[#This Row],[Codigo de Producto]],Productos[#All],2,FALSE),"")</f>
        <v>Dispiasa</v>
      </c>
      <c r="K3982" s="57">
        <f>IFERROR(+VLOOKUP(Ventas[[#This Row],[Codigo de Producto]],Productos[#All],9,FALSE),"")</f>
        <v>751</v>
      </c>
      <c r="M3982" s="57">
        <f t="shared" si="1270"/>
        <v>751</v>
      </c>
      <c r="N3982" s="57">
        <f t="shared" si="1271"/>
        <v>699</v>
      </c>
    </row>
    <row r="3983" spans="1:14" x14ac:dyDescent="0.25">
      <c r="A3983">
        <v>220</v>
      </c>
      <c r="B3983" s="1">
        <v>44155</v>
      </c>
      <c r="C3983" s="57" t="str">
        <f>IF(Ventas[[#This Row],[Fecha ]]="","",+TEXT(B3983,"mmmm"))</f>
        <v>noviembre</v>
      </c>
      <c r="D3983" s="57" t="str">
        <f>IFERROR(+VLOOKUP(Ventas[[#This Row],[Codigo de Producto]],Productos[#All],3,FALSE),"")</f>
        <v>Otro</v>
      </c>
      <c r="E3983" t="s">
        <v>856</v>
      </c>
      <c r="F3983" s="57" t="str">
        <f>IFERROR(+VLOOKUP(Ventas[[#This Row],[Codigo de Producto]],Productos[#All],4,FALSE),"")</f>
        <v>Avería</v>
      </c>
      <c r="G3983">
        <v>3</v>
      </c>
      <c r="H3983">
        <v>80</v>
      </c>
      <c r="I3983" s="57">
        <f>IF(Ventas[[#This Row],[Cantidad]]="","",+Ventas[[#This Row],[Cantidad]]*Ventas[[#This Row],[Precio]])</f>
        <v>240</v>
      </c>
      <c r="J3983" s="57" t="str">
        <f>IFERROR(+VLOOKUP(Ventas[[#This Row],[Codigo de Producto]],Productos[#All],2,FALSE),"")</f>
        <v>Otro</v>
      </c>
      <c r="K3983" s="57">
        <f ca="1">IFERROR(+VLOOKUP(Ventas[[#This Row],[Codigo de Producto]],Productos[#All],9,FALSE),"")</f>
        <v>0</v>
      </c>
      <c r="M3983" s="57" t="str">
        <f t="shared" ca="1" si="1270"/>
        <v/>
      </c>
      <c r="N3983" s="57" t="str">
        <f t="shared" ca="1" si="1271"/>
        <v/>
      </c>
    </row>
    <row r="3984" spans="1:14" x14ac:dyDescent="0.25">
      <c r="A3984">
        <v>221</v>
      </c>
      <c r="B3984" s="1">
        <v>44155</v>
      </c>
      <c r="C3984" s="57" t="str">
        <f>IF(Ventas[[#This Row],[Fecha ]]="","",+TEXT(B3984,"mmmm"))</f>
        <v>noviembre</v>
      </c>
      <c r="D3984" s="57" t="str">
        <f>IFERROR(+VLOOKUP(Ventas[[#This Row],[Codigo de Producto]],Productos[#All],3,FALSE),"")</f>
        <v>Porcelana</v>
      </c>
      <c r="E3984" t="s">
        <v>708</v>
      </c>
      <c r="F3984" s="57" t="str">
        <f>IFERROR(+VLOOKUP(Ventas[[#This Row],[Codigo de Producto]],Productos[#All],4,FALSE),"")</f>
        <v xml:space="preserve">Porcelana Maya </v>
      </c>
      <c r="G3984">
        <v>3</v>
      </c>
      <c r="H3984">
        <v>60</v>
      </c>
      <c r="I3984" s="57">
        <f>IF(Ventas[[#This Row],[Cantidad]]="","",+Ventas[[#This Row],[Cantidad]]*Ventas[[#This Row],[Precio]])</f>
        <v>180</v>
      </c>
      <c r="J3984" s="57" t="str">
        <f>IFERROR(+VLOOKUP(Ventas[[#This Row],[Codigo de Producto]],Productos[#All],2,FALSE),"")</f>
        <v>Martinez</v>
      </c>
      <c r="K3984" s="57">
        <f>IFERROR(+VLOOKUP(Ventas[[#This Row],[Codigo de Producto]],Productos[#All],9,FALSE),"")</f>
        <v>33.333333333333336</v>
      </c>
      <c r="M3984" s="57">
        <f t="shared" si="1270"/>
        <v>100</v>
      </c>
      <c r="N3984" s="57">
        <f t="shared" si="1271"/>
        <v>80</v>
      </c>
    </row>
    <row r="3985" spans="1:14" x14ac:dyDescent="0.25">
      <c r="A3985">
        <v>222</v>
      </c>
      <c r="B3985" s="1">
        <v>44155</v>
      </c>
      <c r="C3985" s="57" t="str">
        <f>IF(Ventas[[#This Row],[Fecha ]]="","",+TEXT(B3985,"mmmm"))</f>
        <v>noviembre</v>
      </c>
      <c r="D3985" s="57" t="str">
        <f>IFERROR(+VLOOKUP(Ventas[[#This Row],[Codigo de Producto]],Productos[#All],3,FALSE),"")</f>
        <v>Inodoro</v>
      </c>
      <c r="E3985" t="s">
        <v>683</v>
      </c>
      <c r="F3985" s="57" t="str">
        <f>IFERROR(+VLOOKUP(Ventas[[#This Row],[Codigo de Producto]],Productos[#All],4,FALSE),"")</f>
        <v>Inodoro Ecoline Rojo Vino</v>
      </c>
      <c r="G3985">
        <v>1</v>
      </c>
      <c r="H3985">
        <v>1950</v>
      </c>
      <c r="I3985" s="57">
        <f>IF(Ventas[[#This Row],[Cantidad]]="","",+Ventas[[#This Row],[Cantidad]]*Ventas[[#This Row],[Precio]])</f>
        <v>1950</v>
      </c>
      <c r="J3985" s="57" t="str">
        <f>IFERROR(+VLOOKUP(Ventas[[#This Row],[Codigo de Producto]],Productos[#All],2,FALSE),"")</f>
        <v>Dispiasa</v>
      </c>
      <c r="K3985" s="57">
        <f>IFERROR(+VLOOKUP(Ventas[[#This Row],[Codigo de Producto]],Productos[#All],9,FALSE),"")</f>
        <v>1707</v>
      </c>
      <c r="M3985" s="57">
        <f t="shared" si="1270"/>
        <v>1707</v>
      </c>
      <c r="N3985" s="57">
        <f t="shared" si="1271"/>
        <v>243</v>
      </c>
    </row>
    <row r="3986" spans="1:14" x14ac:dyDescent="0.25">
      <c r="A3986">
        <v>223</v>
      </c>
      <c r="B3986" s="1">
        <v>44155</v>
      </c>
      <c r="C3986" s="57" t="str">
        <f>IF(Ventas[[#This Row],[Fecha ]]="","",+TEXT(B3986,"mmmm"))</f>
        <v>noviembre</v>
      </c>
      <c r="D3986" s="57" t="str">
        <f>IFERROR(+VLOOKUP(Ventas[[#This Row],[Codigo de Producto]],Productos[#All],3,FALSE),"")</f>
        <v>Cerámica</v>
      </c>
      <c r="E3986" t="s">
        <v>696</v>
      </c>
      <c r="F3986" s="57" t="str">
        <f>IFERROR(+VLOOKUP(Ventas[[#This Row],[Codigo de Producto]],Productos[#All],4,FALSE),"")</f>
        <v>Madera Cedro</v>
      </c>
      <c r="G3986">
        <v>27</v>
      </c>
      <c r="H3986">
        <v>265</v>
      </c>
      <c r="I3986" s="57">
        <f>IF(Ventas[[#This Row],[Cantidad]]="","",+Ventas[[#This Row],[Cantidad]]*Ventas[[#This Row],[Precio]])</f>
        <v>7155</v>
      </c>
      <c r="J3986" s="57" t="str">
        <f>IFERROR(+VLOOKUP(Ventas[[#This Row],[Codigo de Producto]],Productos[#All],2,FALSE),"")</f>
        <v>Comasa</v>
      </c>
      <c r="K3986" s="57">
        <f>IFERROR(+VLOOKUP(Ventas[[#This Row],[Codigo de Producto]],Productos[#All],9,FALSE),"")</f>
        <v>236</v>
      </c>
      <c r="M3986" s="57">
        <f t="shared" si="1270"/>
        <v>6372</v>
      </c>
      <c r="N3986" s="57">
        <f t="shared" si="1271"/>
        <v>783</v>
      </c>
    </row>
    <row r="3987" spans="1:14" x14ac:dyDescent="0.25">
      <c r="A3987">
        <v>224</v>
      </c>
      <c r="B3987" s="1">
        <v>44155</v>
      </c>
      <c r="C3987" s="57" t="str">
        <f>IF(Ventas[[#This Row],[Fecha ]]="","",+TEXT(B3987,"mmmm"))</f>
        <v>noviembre</v>
      </c>
      <c r="D3987" s="57" t="str">
        <f>IFERROR(+VLOOKUP(Ventas[[#This Row],[Codigo de Producto]],Productos[#All],3,FALSE),"")</f>
        <v>Baño</v>
      </c>
      <c r="E3987" t="s">
        <v>833</v>
      </c>
      <c r="F3987" s="57" t="str">
        <f>IFERROR(+VLOOKUP(Ventas[[#This Row],[Codigo de Producto]],Productos[#All],4,FALSE),"")</f>
        <v>Regadera de 6"</v>
      </c>
      <c r="G3987">
        <v>1</v>
      </c>
      <c r="H3987">
        <v>300</v>
      </c>
      <c r="I3987" s="57">
        <f>IF(Ventas[[#This Row],[Cantidad]]="","",+Ventas[[#This Row],[Cantidad]]*Ventas[[#This Row],[Precio]])</f>
        <v>300</v>
      </c>
      <c r="J3987" s="57" t="str">
        <f>IFERROR(+VLOOKUP(Ventas[[#This Row],[Codigo de Producto]],Productos[#All],2,FALSE),"")</f>
        <v>Invercopa</v>
      </c>
      <c r="K3987" s="57">
        <f>IFERROR(+VLOOKUP(Ventas[[#This Row],[Codigo de Producto]],Productos[#All],9,FALSE),"")</f>
        <v>226</v>
      </c>
      <c r="M3987" s="57">
        <f t="shared" si="1270"/>
        <v>226</v>
      </c>
      <c r="N3987" s="57">
        <f t="shared" si="1271"/>
        <v>74</v>
      </c>
    </row>
    <row r="3988" spans="1:14" x14ac:dyDescent="0.25">
      <c r="A3988">
        <v>225</v>
      </c>
      <c r="B3988" s="1">
        <v>44155</v>
      </c>
      <c r="C3988" s="57" t="str">
        <f>IF(Ventas[[#This Row],[Fecha ]]="","",+TEXT(B3988,"mmmm"))</f>
        <v>noviembre</v>
      </c>
      <c r="D3988" s="57" t="str">
        <f>IFERROR(+VLOOKUP(Ventas[[#This Row],[Codigo de Producto]],Productos[#All],3,FALSE),"")</f>
        <v>Inodoro</v>
      </c>
      <c r="E3988" t="s">
        <v>618</v>
      </c>
      <c r="F3988" s="57" t="str">
        <f>IFERROR(+VLOOKUP(Ventas[[#This Row],[Codigo de Producto]],Productos[#All],4,FALSE),"")</f>
        <v>Inodoro Aqua Blanco</v>
      </c>
      <c r="G3988">
        <v>1</v>
      </c>
      <c r="H3988">
        <v>1650</v>
      </c>
      <c r="I3988" s="57">
        <f>IF(Ventas[[#This Row],[Cantidad]]="","",+Ventas[[#This Row],[Cantidad]]*Ventas[[#This Row],[Precio]])</f>
        <v>1650</v>
      </c>
      <c r="J3988" s="57" t="str">
        <f>IFERROR(+VLOOKUP(Ventas[[#This Row],[Codigo de Producto]],Productos[#All],2,FALSE),"")</f>
        <v>Dispiasa</v>
      </c>
      <c r="K3988" s="57">
        <f>IFERROR(+VLOOKUP(Ventas[[#This Row],[Codigo de Producto]],Productos[#All],9,FALSE),"")</f>
        <v>1440</v>
      </c>
      <c r="M3988" s="57">
        <f t="shared" si="1270"/>
        <v>1440</v>
      </c>
      <c r="N3988" s="57">
        <f t="shared" si="1271"/>
        <v>210</v>
      </c>
    </row>
    <row r="3989" spans="1:14" x14ac:dyDescent="0.25">
      <c r="A3989">
        <v>226</v>
      </c>
      <c r="B3989" s="1">
        <v>44155</v>
      </c>
      <c r="C3989" s="57" t="str">
        <f>IF(Ventas[[#This Row],[Fecha ]]="","",+TEXT(B3989,"mmmm"))</f>
        <v>noviembre</v>
      </c>
      <c r="D3989" s="57" t="str">
        <f>IFERROR(+VLOOKUP(Ventas[[#This Row],[Codigo de Producto]],Productos[#All],3,FALSE),"")</f>
        <v>Cerámica</v>
      </c>
      <c r="E3989" t="s">
        <v>646</v>
      </c>
      <c r="F3989" s="57" t="str">
        <f>IFERROR(+VLOOKUP(Ventas[[#This Row],[Codigo de Producto]],Productos[#All],4,FALSE),"")</f>
        <v>Zacatepec Marrón</v>
      </c>
      <c r="G3989">
        <v>3</v>
      </c>
      <c r="H3989">
        <v>250</v>
      </c>
      <c r="I3989" s="57">
        <f>IF(Ventas[[#This Row],[Cantidad]]="","",+Ventas[[#This Row],[Cantidad]]*Ventas[[#This Row],[Precio]])</f>
        <v>750</v>
      </c>
      <c r="J3989" s="57" t="str">
        <f>IFERROR(+VLOOKUP(Ventas[[#This Row],[Codigo de Producto]],Productos[#All],2,FALSE),"")</f>
        <v>Dispiasa</v>
      </c>
      <c r="K3989" s="57">
        <f>IFERROR(+VLOOKUP(Ventas[[#This Row],[Codigo de Producto]],Productos[#All],9,FALSE),"")</f>
        <v>219</v>
      </c>
      <c r="M3989" s="57">
        <f t="shared" si="1270"/>
        <v>657</v>
      </c>
      <c r="N3989" s="57">
        <f t="shared" si="1271"/>
        <v>93</v>
      </c>
    </row>
    <row r="3990" spans="1:14" x14ac:dyDescent="0.25">
      <c r="A3990">
        <v>227</v>
      </c>
      <c r="B3990" s="1">
        <v>44155</v>
      </c>
      <c r="C3990" s="57" t="str">
        <f>IF(Ventas[[#This Row],[Fecha ]]="","",+TEXT(B3990,"mmmm"))</f>
        <v>noviembre</v>
      </c>
      <c r="D3990" s="57" t="str">
        <f>IFERROR(+VLOOKUP(Ventas[[#This Row],[Codigo de Producto]],Productos[#All],3,FALSE),"")</f>
        <v>Bond</v>
      </c>
      <c r="E3990" t="s">
        <v>704</v>
      </c>
      <c r="F3990" s="57" t="str">
        <f>IFERROR(+VLOOKUP(Ventas[[#This Row],[Codigo de Producto]],Productos[#All],4,FALSE),"")</f>
        <v>Drytec Bond Plus</v>
      </c>
      <c r="G3990">
        <v>1</v>
      </c>
      <c r="H3990">
        <v>155</v>
      </c>
      <c r="I3990" s="57">
        <f>IF(Ventas[[#This Row],[Cantidad]]="","",+Ventas[[#This Row],[Cantidad]]*Ventas[[#This Row],[Precio]])</f>
        <v>155</v>
      </c>
      <c r="J3990" s="57" t="str">
        <f>IFERROR(+VLOOKUP(Ventas[[#This Row],[Codigo de Producto]],Productos[#All],2,FALSE),"")</f>
        <v>Comasa</v>
      </c>
      <c r="K3990" s="57">
        <f>IFERROR(+VLOOKUP(Ventas[[#This Row],[Codigo de Producto]],Productos[#All],9,FALSE),"")</f>
        <v>127</v>
      </c>
      <c r="M3990" s="57">
        <f t="shared" ref="M3990:M4013" si="1272">+IF(K3990=0,(""),(K3990*G3990))</f>
        <v>127</v>
      </c>
      <c r="N3990" s="57">
        <f t="shared" ref="N3990:N4013" si="1273">+IF(K3990=0,(""),(I3990-M3990))</f>
        <v>28</v>
      </c>
    </row>
    <row r="3991" spans="1:14" x14ac:dyDescent="0.25">
      <c r="A3991">
        <v>228</v>
      </c>
      <c r="B3991" s="1">
        <v>44155</v>
      </c>
      <c r="C3991" s="57" t="str">
        <f>IF(Ventas[[#This Row],[Fecha ]]="","",+TEXT(B3991,"mmmm"))</f>
        <v>noviembre</v>
      </c>
      <c r="D3991" s="57" t="str">
        <f>IFERROR(+VLOOKUP(Ventas[[#This Row],[Codigo de Producto]],Productos[#All],3,FALSE),"")</f>
        <v>Cerámica</v>
      </c>
      <c r="E3991" t="s">
        <v>691</v>
      </c>
      <c r="F3991" s="57" t="str">
        <f>IFERROR(+VLOOKUP(Ventas[[#This Row],[Codigo de Producto]],Productos[#All],4,FALSE),"")</f>
        <v>Madera Dinizia Oscuro</v>
      </c>
      <c r="G3991">
        <f>3/9</f>
        <v>0.33333333333333331</v>
      </c>
      <c r="H3991">
        <v>240</v>
      </c>
      <c r="I3991" s="57">
        <f>IF(Ventas[[#This Row],[Cantidad]]="","",+Ventas[[#This Row],[Cantidad]]*Ventas[[#This Row],[Precio]])</f>
        <v>80</v>
      </c>
      <c r="J3991" s="57" t="str">
        <f>IFERROR(+VLOOKUP(Ventas[[#This Row],[Codigo de Producto]],Productos[#All],2,FALSE),"")</f>
        <v>Comasa</v>
      </c>
      <c r="K3991" s="57">
        <f>IFERROR(+VLOOKUP(Ventas[[#This Row],[Codigo de Producto]],Productos[#All],9,FALSE),"")</f>
        <v>212</v>
      </c>
      <c r="M3991" s="57">
        <f t="shared" si="1272"/>
        <v>70.666666666666657</v>
      </c>
      <c r="N3991" s="57">
        <f t="shared" si="1273"/>
        <v>9.3333333333333428</v>
      </c>
    </row>
    <row r="3992" spans="1:14" x14ac:dyDescent="0.25">
      <c r="A3992">
        <v>229</v>
      </c>
      <c r="B3992" s="1">
        <v>44155</v>
      </c>
      <c r="C3992" s="57" t="str">
        <f>IF(Ventas[[#This Row],[Fecha ]]="","",+TEXT(B3992,"mmmm"))</f>
        <v>noviembre</v>
      </c>
      <c r="D3992" s="57" t="str">
        <f>IFERROR(+VLOOKUP(Ventas[[#This Row],[Codigo de Producto]],Productos[#All],3,FALSE),"")</f>
        <v>Azulejos</v>
      </c>
      <c r="E3992" t="s">
        <v>640</v>
      </c>
      <c r="F3992" s="57" t="str">
        <f>IFERROR(+VLOOKUP(Ventas[[#This Row],[Codigo de Producto]],Productos[#All],4,FALSE),"")</f>
        <v>Marsella Visón</v>
      </c>
      <c r="G3992">
        <f>4/17</f>
        <v>0.23529411764705882</v>
      </c>
      <c r="H3992">
        <v>300</v>
      </c>
      <c r="I3992" s="57">
        <f>IF(Ventas[[#This Row],[Cantidad]]="","",+Ventas[[#This Row],[Cantidad]]*Ventas[[#This Row],[Precio]])</f>
        <v>70.588235294117652</v>
      </c>
      <c r="J3992" s="57" t="str">
        <f>IFERROR(+VLOOKUP(Ventas[[#This Row],[Codigo de Producto]],Productos[#All],2,FALSE),"")</f>
        <v>Dispiasa</v>
      </c>
      <c r="K3992" s="57">
        <f>IFERROR(+VLOOKUP(Ventas[[#This Row],[Codigo de Producto]],Productos[#All],9,FALSE),"")</f>
        <v>268</v>
      </c>
      <c r="M3992" s="57">
        <f t="shared" si="1272"/>
        <v>63.058823529411761</v>
      </c>
      <c r="N3992" s="57">
        <f t="shared" si="1273"/>
        <v>7.5294117647058911</v>
      </c>
    </row>
    <row r="3993" spans="1:14" x14ac:dyDescent="0.25">
      <c r="A3993">
        <v>230</v>
      </c>
      <c r="B3993" s="1">
        <v>44156</v>
      </c>
      <c r="C3993" s="57" t="str">
        <f>IF(Ventas[[#This Row],[Fecha ]]="","",+TEXT(B3993,"mmmm"))</f>
        <v>noviembre</v>
      </c>
      <c r="D3993" s="57" t="str">
        <f>IFERROR(+VLOOKUP(Ventas[[#This Row],[Codigo de Producto]],Productos[#All],3,FALSE),"")</f>
        <v>Plasterbond</v>
      </c>
      <c r="E3993" t="s">
        <v>713</v>
      </c>
      <c r="F3993" s="57" t="str">
        <f>IFERROR(+VLOOKUP(Ventas[[#This Row],[Codigo de Producto]],Productos[#All],4,FALSE),"")</f>
        <v>Plasterbond Klebe</v>
      </c>
      <c r="G3993">
        <v>1</v>
      </c>
      <c r="H3993">
        <v>100</v>
      </c>
      <c r="I3993" s="57">
        <f>IF(Ventas[[#This Row],[Cantidad]]="","",+Ventas[[#This Row],[Cantidad]]*Ventas[[#This Row],[Precio]])</f>
        <v>100</v>
      </c>
      <c r="J3993" s="57" t="str">
        <f>IFERROR(+VLOOKUP(Ventas[[#This Row],[Codigo de Producto]],Productos[#All],2,FALSE),"")</f>
        <v>Aginsa</v>
      </c>
      <c r="K3993" s="57">
        <f>IFERROR(+VLOOKUP(Ventas[[#This Row],[Codigo de Producto]],Productos[#All],9,FALSE),"")</f>
        <v>80</v>
      </c>
      <c r="M3993" s="57">
        <f t="shared" si="1272"/>
        <v>80</v>
      </c>
      <c r="N3993" s="57">
        <f t="shared" si="1273"/>
        <v>20</v>
      </c>
    </row>
    <row r="3994" spans="1:14" x14ac:dyDescent="0.25">
      <c r="A3994">
        <v>231</v>
      </c>
      <c r="B3994" s="1">
        <v>44156</v>
      </c>
      <c r="C3994" s="57" t="str">
        <f>IF(Ventas[[#This Row],[Fecha ]]="","",+TEXT(B3994,"mmmm"))</f>
        <v>noviembre</v>
      </c>
      <c r="D3994" s="57" t="str">
        <f>IFERROR(+VLOOKUP(Ventas[[#This Row],[Codigo de Producto]],Productos[#All],3,FALSE),"")</f>
        <v>Azulejos</v>
      </c>
      <c r="E3994" t="s">
        <v>640</v>
      </c>
      <c r="F3994" s="57" t="str">
        <f>IFERROR(+VLOOKUP(Ventas[[#This Row],[Codigo de Producto]],Productos[#All],4,FALSE),"")</f>
        <v>Marsella Visón</v>
      </c>
      <c r="G3994">
        <f>5/17</f>
        <v>0.29411764705882354</v>
      </c>
      <c r="H3994">
        <v>300</v>
      </c>
      <c r="I3994" s="57">
        <f>IF(Ventas[[#This Row],[Cantidad]]="","",+Ventas[[#This Row],[Cantidad]]*Ventas[[#This Row],[Precio]])</f>
        <v>88.235294117647058</v>
      </c>
      <c r="J3994" s="57" t="str">
        <f>IFERROR(+VLOOKUP(Ventas[[#This Row],[Codigo de Producto]],Productos[#All],2,FALSE),"")</f>
        <v>Dispiasa</v>
      </c>
      <c r="K3994" s="57">
        <f>IFERROR(+VLOOKUP(Ventas[[#This Row],[Codigo de Producto]],Productos[#All],9,FALSE),"")</f>
        <v>268</v>
      </c>
      <c r="M3994" s="57">
        <f t="shared" si="1272"/>
        <v>78.82352941176471</v>
      </c>
      <c r="N3994" s="57">
        <f t="shared" si="1273"/>
        <v>9.4117647058823479</v>
      </c>
    </row>
    <row r="3995" spans="1:14" x14ac:dyDescent="0.25">
      <c r="A3995">
        <v>232</v>
      </c>
      <c r="B3995" s="1">
        <v>44156</v>
      </c>
      <c r="C3995" s="57" t="str">
        <f>IF(Ventas[[#This Row],[Fecha ]]="","",+TEXT(B3995,"mmmm"))</f>
        <v>noviembre</v>
      </c>
      <c r="D3995" s="57" t="str">
        <f>IFERROR(+VLOOKUP(Ventas[[#This Row],[Codigo de Producto]],Productos[#All],3,FALSE),"")</f>
        <v>Porcelana</v>
      </c>
      <c r="E3995" t="s">
        <v>708</v>
      </c>
      <c r="F3995" s="57" t="str">
        <f>IFERROR(+VLOOKUP(Ventas[[#This Row],[Codigo de Producto]],Productos[#All],4,FALSE),"")</f>
        <v xml:space="preserve">Porcelana Maya </v>
      </c>
      <c r="G3995">
        <v>2</v>
      </c>
      <c r="H3995">
        <v>60</v>
      </c>
      <c r="I3995" s="57">
        <f>IF(Ventas[[#This Row],[Cantidad]]="","",+Ventas[[#This Row],[Cantidad]]*Ventas[[#This Row],[Precio]])</f>
        <v>120</v>
      </c>
      <c r="J3995" s="57" t="str">
        <f>IFERROR(+VLOOKUP(Ventas[[#This Row],[Codigo de Producto]],Productos[#All],2,FALSE),"")</f>
        <v>Martinez</v>
      </c>
      <c r="K3995" s="57">
        <f>IFERROR(+VLOOKUP(Ventas[[#This Row],[Codigo de Producto]],Productos[#All],9,FALSE),"")</f>
        <v>33.333333333333336</v>
      </c>
      <c r="M3995" s="57">
        <f t="shared" si="1272"/>
        <v>66.666666666666671</v>
      </c>
      <c r="N3995" s="57">
        <f t="shared" si="1273"/>
        <v>53.333333333333329</v>
      </c>
    </row>
    <row r="3996" spans="1:14" x14ac:dyDescent="0.25">
      <c r="A3996">
        <v>233</v>
      </c>
      <c r="B3996" s="1">
        <v>44156</v>
      </c>
      <c r="C3996" s="57" t="str">
        <f>IF(Ventas[[#This Row],[Fecha ]]="","",+TEXT(B3996,"mmmm"))</f>
        <v>noviembre</v>
      </c>
      <c r="D3996" s="57" t="str">
        <f>IFERROR(+VLOOKUP(Ventas[[#This Row],[Codigo de Producto]],Productos[#All],3,FALSE),"")</f>
        <v>Porcelanato</v>
      </c>
      <c r="E3996" t="s">
        <v>694</v>
      </c>
      <c r="F3996" s="57" t="str">
        <f>IFERROR(+VLOOKUP(Ventas[[#This Row],[Codigo de Producto]],Productos[#All],4,FALSE),"")</f>
        <v>Beige Marfil</v>
      </c>
      <c r="G3996">
        <f>3/4*1.44</f>
        <v>1.08</v>
      </c>
      <c r="H3996">
        <v>380</v>
      </c>
      <c r="I3996" s="57">
        <f>IF(Ventas[[#This Row],[Cantidad]]="","",+Ventas[[#This Row],[Cantidad]]*Ventas[[#This Row],[Precio]])</f>
        <v>410.40000000000003</v>
      </c>
      <c r="J3996" s="57" t="str">
        <f>IFERROR(+VLOOKUP(Ventas[[#This Row],[Codigo de Producto]],Productos[#All],2,FALSE),"")</f>
        <v>Halcón</v>
      </c>
      <c r="K3996" s="57">
        <f>IFERROR(+VLOOKUP(Ventas[[#This Row],[Codigo de Producto]],Productos[#All],9,FALSE),"")</f>
        <v>340</v>
      </c>
      <c r="M3996" s="57">
        <f t="shared" si="1272"/>
        <v>367.20000000000005</v>
      </c>
      <c r="N3996" s="57">
        <f t="shared" si="1273"/>
        <v>43.199999999999989</v>
      </c>
    </row>
    <row r="3997" spans="1:14" x14ac:dyDescent="0.25">
      <c r="A3997">
        <v>234</v>
      </c>
      <c r="B3997" s="1">
        <v>44156</v>
      </c>
      <c r="C3997" s="57" t="str">
        <f>IF(Ventas[[#This Row],[Fecha ]]="","",+TEXT(B3997,"mmmm"))</f>
        <v>noviembre</v>
      </c>
      <c r="D3997" s="57" t="str">
        <f>IFERROR(+VLOOKUP(Ventas[[#This Row],[Codigo de Producto]],Productos[#All],3,FALSE),"")</f>
        <v>Bond</v>
      </c>
      <c r="E3997" t="s">
        <v>705</v>
      </c>
      <c r="F3997" s="57" t="str">
        <f>IFERROR(+VLOOKUP(Ventas[[#This Row],[Codigo de Producto]],Productos[#All],4,FALSE),"")</f>
        <v>Bond Porcelanato Drytec</v>
      </c>
      <c r="G3997">
        <v>1</v>
      </c>
      <c r="H3997">
        <v>260</v>
      </c>
      <c r="I3997" s="57">
        <f>IF(Ventas[[#This Row],[Cantidad]]="","",+Ventas[[#This Row],[Cantidad]]*Ventas[[#This Row],[Precio]])</f>
        <v>260</v>
      </c>
      <c r="J3997" s="57" t="str">
        <f>IFERROR(+VLOOKUP(Ventas[[#This Row],[Codigo de Producto]],Productos[#All],2,FALSE),"")</f>
        <v>Comasa</v>
      </c>
      <c r="K3997" s="57">
        <f>IFERROR(+VLOOKUP(Ventas[[#This Row],[Codigo de Producto]],Productos[#All],9,FALSE),"")</f>
        <v>190</v>
      </c>
      <c r="M3997" s="57">
        <f t="shared" si="1272"/>
        <v>190</v>
      </c>
      <c r="N3997" s="57">
        <f t="shared" si="1273"/>
        <v>70</v>
      </c>
    </row>
    <row r="3998" spans="1:14" x14ac:dyDescent="0.25">
      <c r="A3998">
        <v>235</v>
      </c>
      <c r="B3998" s="1">
        <v>44156</v>
      </c>
      <c r="C3998" s="57" t="str">
        <f>IF(Ventas[[#This Row],[Fecha ]]="","",+TEXT(B3998,"mmmm"))</f>
        <v>noviembre</v>
      </c>
      <c r="D3998" s="57" t="str">
        <f>IFERROR(+VLOOKUP(Ventas[[#This Row],[Codigo de Producto]],Productos[#All],3,FALSE),"")</f>
        <v>Cerámica</v>
      </c>
      <c r="E3998" t="s">
        <v>665</v>
      </c>
      <c r="F3998" s="57" t="str">
        <f>IFERROR(+VLOOKUP(Ventas[[#This Row],[Codigo de Producto]],Productos[#All],4,FALSE),"")</f>
        <v>Tapachula Azul</v>
      </c>
      <c r="G3998">
        <v>2</v>
      </c>
      <c r="H3998">
        <v>250</v>
      </c>
      <c r="I3998" s="57">
        <f>IF(Ventas[[#This Row],[Cantidad]]="","",+Ventas[[#This Row],[Cantidad]]*Ventas[[#This Row],[Precio]])</f>
        <v>500</v>
      </c>
      <c r="J3998" s="57" t="str">
        <f>IFERROR(+VLOOKUP(Ventas[[#This Row],[Codigo de Producto]],Productos[#All],2,FALSE),"")</f>
        <v>Dispiasa</v>
      </c>
      <c r="K3998" s="57">
        <f>IFERROR(+VLOOKUP(Ventas[[#This Row],[Codigo de Producto]],Productos[#All],9,FALSE),"")</f>
        <v>218</v>
      </c>
      <c r="M3998" s="57">
        <f t="shared" si="1272"/>
        <v>436</v>
      </c>
      <c r="N3998" s="57">
        <f t="shared" si="1273"/>
        <v>64</v>
      </c>
    </row>
    <row r="3999" spans="1:14" x14ac:dyDescent="0.25">
      <c r="A3999">
        <v>236</v>
      </c>
      <c r="B3999" s="1">
        <v>44156</v>
      </c>
      <c r="C3999" s="57" t="str">
        <f>IF(Ventas[[#This Row],[Fecha ]]="","",+TEXT(B3999,"mmmm"))</f>
        <v>noviembre</v>
      </c>
      <c r="D3999" s="57" t="str">
        <f>IFERROR(+VLOOKUP(Ventas[[#This Row],[Codigo de Producto]],Productos[#All],3,FALSE),"")</f>
        <v>Cerámica</v>
      </c>
      <c r="E3999" t="s">
        <v>857</v>
      </c>
      <c r="F3999" s="57" t="str">
        <f>IFERROR(+VLOOKUP(Ventas[[#This Row],[Codigo de Producto]],Productos[#All],4,FALSE),"")</f>
        <v>Ontario</v>
      </c>
      <c r="G3999">
        <v>1</v>
      </c>
      <c r="H3999">
        <v>300</v>
      </c>
      <c r="I3999" s="57">
        <f>IF(Ventas[[#This Row],[Cantidad]]="","",+Ventas[[#This Row],[Cantidad]]*Ventas[[#This Row],[Precio]])</f>
        <v>300</v>
      </c>
      <c r="J3999" s="57" t="str">
        <f>IFERROR(+VLOOKUP(Ventas[[#This Row],[Codigo de Producto]],Productos[#All],2,FALSE),"")</f>
        <v>Dispiasa</v>
      </c>
      <c r="K3999" s="57">
        <f>IFERROR(+VLOOKUP(Ventas[[#This Row],[Codigo de Producto]],Productos[#All],9,FALSE),"")</f>
        <v>268</v>
      </c>
      <c r="M3999" s="57">
        <f t="shared" si="1272"/>
        <v>268</v>
      </c>
      <c r="N3999" s="57">
        <f t="shared" si="1273"/>
        <v>32</v>
      </c>
    </row>
    <row r="4000" spans="1:14" x14ac:dyDescent="0.25">
      <c r="A4000">
        <v>237</v>
      </c>
      <c r="B4000" s="1">
        <v>44156</v>
      </c>
      <c r="C4000" s="57" t="str">
        <f>IF(Ventas[[#This Row],[Fecha ]]="","",+TEXT(B4000,"mmmm"))</f>
        <v>noviembre</v>
      </c>
      <c r="D4000" s="57" t="str">
        <f>IFERROR(+VLOOKUP(Ventas[[#This Row],[Codigo de Producto]],Productos[#All],3,FALSE),"")</f>
        <v>Cerámica</v>
      </c>
      <c r="E4000" t="s">
        <v>698</v>
      </c>
      <c r="F4000" s="57" t="str">
        <f>IFERROR(+VLOOKUP(Ventas[[#This Row],[Codigo de Producto]],Productos[#All],4,FALSE),"")</f>
        <v>Casilina</v>
      </c>
      <c r="G4000">
        <f>3/18*2.15</f>
        <v>0.35833333333333328</v>
      </c>
      <c r="H4000">
        <v>250</v>
      </c>
      <c r="I4000" s="57">
        <f>IF(Ventas[[#This Row],[Cantidad]]="","",+Ventas[[#This Row],[Cantidad]]*Ventas[[#This Row],[Precio]])</f>
        <v>89.583333333333314</v>
      </c>
      <c r="J4000" s="57" t="str">
        <f>IFERROR(+VLOOKUP(Ventas[[#This Row],[Codigo de Producto]],Productos[#All],2,FALSE),"")</f>
        <v>Comasa</v>
      </c>
      <c r="K4000" s="57">
        <f>IFERROR(+VLOOKUP(Ventas[[#This Row],[Codigo de Producto]],Productos[#All],9,FALSE),"")</f>
        <v>220</v>
      </c>
      <c r="M4000" s="57">
        <f t="shared" si="1272"/>
        <v>78.833333333333329</v>
      </c>
      <c r="N4000" s="57">
        <f t="shared" si="1273"/>
        <v>10.749999999999986</v>
      </c>
    </row>
    <row r="4001" spans="1:14" x14ac:dyDescent="0.25">
      <c r="A4001">
        <v>238</v>
      </c>
      <c r="B4001" s="1">
        <v>44156</v>
      </c>
      <c r="C4001" s="57" t="str">
        <f>IF(Ventas[[#This Row],[Fecha ]]="","",+TEXT(B4001,"mmmm"))</f>
        <v>noviembre</v>
      </c>
      <c r="D4001" s="57" t="str">
        <f>IFERROR(+VLOOKUP(Ventas[[#This Row],[Codigo de Producto]],Productos[#All],3,FALSE),"")</f>
        <v>Cerámica</v>
      </c>
      <c r="E4001" t="s">
        <v>646</v>
      </c>
      <c r="F4001" s="57" t="str">
        <f>IFERROR(+VLOOKUP(Ventas[[#This Row],[Codigo de Producto]],Productos[#All],4,FALSE),"")</f>
        <v>Zacatepec Marrón</v>
      </c>
      <c r="G4001">
        <v>7</v>
      </c>
      <c r="H4001">
        <v>250</v>
      </c>
      <c r="I4001" s="57">
        <f>IF(Ventas[[#This Row],[Cantidad]]="","",+Ventas[[#This Row],[Cantidad]]*Ventas[[#This Row],[Precio]])</f>
        <v>1750</v>
      </c>
      <c r="J4001" s="57" t="str">
        <f>IFERROR(+VLOOKUP(Ventas[[#This Row],[Codigo de Producto]],Productos[#All],2,FALSE),"")</f>
        <v>Dispiasa</v>
      </c>
      <c r="K4001" s="57">
        <f>IFERROR(+VLOOKUP(Ventas[[#This Row],[Codigo de Producto]],Productos[#All],9,FALSE),"")</f>
        <v>219</v>
      </c>
      <c r="M4001" s="57">
        <f t="shared" si="1272"/>
        <v>1533</v>
      </c>
      <c r="N4001" s="57">
        <f t="shared" si="1273"/>
        <v>217</v>
      </c>
    </row>
    <row r="4002" spans="1:14" x14ac:dyDescent="0.25">
      <c r="A4002">
        <v>239</v>
      </c>
      <c r="B4002" s="1">
        <v>44158</v>
      </c>
      <c r="C4002" s="57" t="str">
        <f>IF(Ventas[[#This Row],[Fecha ]]="","",+TEXT(B4002,"mmmm"))</f>
        <v>noviembre</v>
      </c>
      <c r="D4002" s="57" t="str">
        <f>IFERROR(+VLOOKUP(Ventas[[#This Row],[Codigo de Producto]],Productos[#All],3,FALSE),"")</f>
        <v>Cerámica</v>
      </c>
      <c r="E4002" t="s">
        <v>858</v>
      </c>
      <c r="F4002" s="57" t="str">
        <f>IFERROR(+VLOOKUP(Ventas[[#This Row],[Codigo de Producto]],Productos[#All],4,FALSE),"")</f>
        <v>Janeiro Marrón</v>
      </c>
      <c r="G4002">
        <v>1</v>
      </c>
      <c r="H4002">
        <v>250</v>
      </c>
      <c r="I4002" s="57">
        <f>IF(Ventas[[#This Row],[Cantidad]]="","",+Ventas[[#This Row],[Cantidad]]*Ventas[[#This Row],[Precio]])</f>
        <v>250</v>
      </c>
      <c r="J4002" s="57" t="str">
        <f>IFERROR(+VLOOKUP(Ventas[[#This Row],[Codigo de Producto]],Productos[#All],2,FALSE),"")</f>
        <v>Dispiasa</v>
      </c>
      <c r="K4002" s="57">
        <f>IFERROR(+VLOOKUP(Ventas[[#This Row],[Codigo de Producto]],Productos[#All],9,FALSE),"")</f>
        <v>219</v>
      </c>
      <c r="M4002" s="57">
        <f t="shared" si="1272"/>
        <v>219</v>
      </c>
      <c r="N4002" s="57">
        <f t="shared" si="1273"/>
        <v>31</v>
      </c>
    </row>
    <row r="4003" spans="1:14" x14ac:dyDescent="0.25">
      <c r="A4003">
        <v>240</v>
      </c>
      <c r="B4003" s="1">
        <v>44158</v>
      </c>
      <c r="C4003" s="57" t="str">
        <f>IF(Ventas[[#This Row],[Fecha ]]="","",+TEXT(B4003,"mmmm"))</f>
        <v>noviembre</v>
      </c>
      <c r="D4003" s="57" t="str">
        <f>IFERROR(+VLOOKUP(Ventas[[#This Row],[Codigo de Producto]],Productos[#All],3,FALSE),"")</f>
        <v>Azulejos</v>
      </c>
      <c r="E4003" t="s">
        <v>642</v>
      </c>
      <c r="F4003" s="57" t="str">
        <f>IFERROR(+VLOOKUP(Ventas[[#This Row],[Codigo de Producto]],Productos[#All],4,FALSE),"")</f>
        <v>722 Marrón</v>
      </c>
      <c r="G4003">
        <v>5</v>
      </c>
      <c r="H4003">
        <v>270</v>
      </c>
      <c r="I4003" s="57">
        <f>IF(Ventas[[#This Row],[Cantidad]]="","",+Ventas[[#This Row],[Cantidad]]*Ventas[[#This Row],[Precio]])</f>
        <v>1350</v>
      </c>
      <c r="J4003" s="57" t="str">
        <f>IFERROR(+VLOOKUP(Ventas[[#This Row],[Codigo de Producto]],Productos[#All],2,FALSE),"")</f>
        <v>Dispiasa</v>
      </c>
      <c r="K4003" s="57">
        <f>IFERROR(+VLOOKUP(Ventas[[#This Row],[Codigo de Producto]],Productos[#All],9,FALSE),"")</f>
        <v>207</v>
      </c>
      <c r="M4003" s="57">
        <f t="shared" si="1272"/>
        <v>1035</v>
      </c>
      <c r="N4003" s="57">
        <f t="shared" si="1273"/>
        <v>315</v>
      </c>
    </row>
    <row r="4004" spans="1:14" x14ac:dyDescent="0.25">
      <c r="A4004">
        <v>241</v>
      </c>
      <c r="B4004" s="1">
        <v>44158</v>
      </c>
      <c r="C4004" s="57" t="str">
        <f>IF(Ventas[[#This Row],[Fecha ]]="","",+TEXT(B4004,"mmmm"))</f>
        <v>noviembre</v>
      </c>
      <c r="D4004" s="57" t="str">
        <f>IFERROR(+VLOOKUP(Ventas[[#This Row],[Codigo de Producto]],Productos[#All],3,FALSE),"")</f>
        <v>Cerámica</v>
      </c>
      <c r="E4004" t="s">
        <v>679</v>
      </c>
      <c r="F4004" s="57" t="str">
        <f>IFERROR(+VLOOKUP(Ventas[[#This Row],[Codigo de Producto]],Productos[#All],4,FALSE),"")</f>
        <v>Rio Gris Granilla</v>
      </c>
      <c r="G4004">
        <f>2/10</f>
        <v>0.2</v>
      </c>
      <c r="H4004">
        <v>250</v>
      </c>
      <c r="I4004" s="57">
        <f>IF(Ventas[[#This Row],[Cantidad]]="","",+Ventas[[#This Row],[Cantidad]]*Ventas[[#This Row],[Precio]])</f>
        <v>50</v>
      </c>
      <c r="J4004" s="57" t="str">
        <f>IFERROR(+VLOOKUP(Ventas[[#This Row],[Codigo de Producto]],Productos[#All],2,FALSE),"")</f>
        <v>Dispiasa</v>
      </c>
      <c r="K4004" s="57">
        <f>IFERROR(+VLOOKUP(Ventas[[#This Row],[Codigo de Producto]],Productos[#All],9,FALSE),"")</f>
        <v>210</v>
      </c>
      <c r="M4004" s="57">
        <f t="shared" si="1272"/>
        <v>42</v>
      </c>
      <c r="N4004" s="57">
        <f t="shared" si="1273"/>
        <v>8</v>
      </c>
    </row>
    <row r="4005" spans="1:14" x14ac:dyDescent="0.25">
      <c r="A4005">
        <v>242</v>
      </c>
      <c r="B4005" s="1">
        <v>44158</v>
      </c>
      <c r="C4005" s="57" t="str">
        <f>IF(Ventas[[#This Row],[Fecha ]]="","",+TEXT(B4005,"mmmm"))</f>
        <v>noviembre</v>
      </c>
      <c r="D4005" s="57" t="str">
        <f>IFERROR(+VLOOKUP(Ventas[[#This Row],[Codigo de Producto]],Productos[#All],3,FALSE),"")</f>
        <v>Fachaleta</v>
      </c>
      <c r="E4005" t="s">
        <v>846</v>
      </c>
      <c r="F4005" s="57" t="str">
        <f>IFERROR(+VLOOKUP(Ventas[[#This Row],[Codigo de Producto]],Productos[#All],4,FALSE),"")</f>
        <v>Creta Marrón</v>
      </c>
      <c r="G4005">
        <v>8</v>
      </c>
      <c r="H4005">
        <v>430</v>
      </c>
      <c r="I4005" s="57">
        <f>IF(Ventas[[#This Row],[Cantidad]]="","",+Ventas[[#This Row],[Cantidad]]*Ventas[[#This Row],[Precio]])</f>
        <v>3440</v>
      </c>
      <c r="J4005" s="57" t="str">
        <f>IFERROR(+VLOOKUP(Ventas[[#This Row],[Codigo de Producto]],Productos[#All],2,FALSE),"")</f>
        <v>Dispiasa</v>
      </c>
      <c r="K4005" s="57">
        <f>IFERROR(+VLOOKUP(Ventas[[#This Row],[Codigo de Producto]],Productos[#All],9,FALSE),"")</f>
        <v>335</v>
      </c>
      <c r="M4005" s="57">
        <f t="shared" si="1272"/>
        <v>2680</v>
      </c>
      <c r="N4005" s="57">
        <f t="shared" si="1273"/>
        <v>760</v>
      </c>
    </row>
    <row r="4006" spans="1:14" x14ac:dyDescent="0.25">
      <c r="A4006">
        <v>243</v>
      </c>
      <c r="B4006" s="1">
        <v>44158</v>
      </c>
      <c r="C4006" s="57" t="str">
        <f>IF(Ventas[[#This Row],[Fecha ]]="","",+TEXT(B4006,"mmmm"))</f>
        <v>noviembre</v>
      </c>
      <c r="D4006" s="57" t="str">
        <f>IFERROR(+VLOOKUP(Ventas[[#This Row],[Codigo de Producto]],Productos[#All],3,FALSE),"")</f>
        <v>Baño</v>
      </c>
      <c r="E4006" t="s">
        <v>859</v>
      </c>
      <c r="F4006" s="57" t="str">
        <f>IFERROR(+VLOOKUP(Ventas[[#This Row],[Codigo de Producto]],Productos[#All],4,FALSE),"")</f>
        <v>Rejilla Griven</v>
      </c>
      <c r="G4006">
        <v>2</v>
      </c>
      <c r="H4006">
        <v>100</v>
      </c>
      <c r="I4006" s="57">
        <f>IF(Ventas[[#This Row],[Cantidad]]="","",+Ventas[[#This Row],[Cantidad]]*Ventas[[#This Row],[Precio]])</f>
        <v>200</v>
      </c>
      <c r="J4006" s="57" t="str">
        <f>IFERROR(+VLOOKUP(Ventas[[#This Row],[Codigo de Producto]],Productos[#All],2,FALSE),"")</f>
        <v>Invercopa</v>
      </c>
      <c r="K4006" s="57">
        <f>IFERROR(+VLOOKUP(Ventas[[#This Row],[Codigo de Producto]],Productos[#All],9,FALSE),"")</f>
        <v>74</v>
      </c>
      <c r="M4006" s="57">
        <f t="shared" si="1272"/>
        <v>148</v>
      </c>
      <c r="N4006" s="57">
        <f t="shared" si="1273"/>
        <v>52</v>
      </c>
    </row>
    <row r="4007" spans="1:14" x14ac:dyDescent="0.25">
      <c r="A4007">
        <v>244</v>
      </c>
      <c r="B4007" s="1">
        <v>44158</v>
      </c>
      <c r="C4007" s="57" t="str">
        <f>IF(Ventas[[#This Row],[Fecha ]]="","",+TEXT(B4007,"mmmm"))</f>
        <v>noviembre</v>
      </c>
      <c r="D4007" s="57" t="str">
        <f>IFERROR(+VLOOKUP(Ventas[[#This Row],[Codigo de Producto]],Productos[#All],3,FALSE),"")</f>
        <v>Bond</v>
      </c>
      <c r="E4007" t="s">
        <v>704</v>
      </c>
      <c r="F4007" s="57" t="str">
        <f>IFERROR(+VLOOKUP(Ventas[[#This Row],[Codigo de Producto]],Productos[#All],4,FALSE),"")</f>
        <v>Drytec Bond Plus</v>
      </c>
      <c r="G4007">
        <v>2</v>
      </c>
      <c r="H4007">
        <v>155</v>
      </c>
      <c r="I4007" s="57">
        <f>IF(Ventas[[#This Row],[Cantidad]]="","",+Ventas[[#This Row],[Cantidad]]*Ventas[[#This Row],[Precio]])</f>
        <v>310</v>
      </c>
      <c r="J4007" s="57" t="str">
        <f>IFERROR(+VLOOKUP(Ventas[[#This Row],[Codigo de Producto]],Productos[#All],2,FALSE),"")</f>
        <v>Comasa</v>
      </c>
      <c r="K4007" s="57">
        <f>IFERROR(+VLOOKUP(Ventas[[#This Row],[Codigo de Producto]],Productos[#All],9,FALSE),"")</f>
        <v>127</v>
      </c>
      <c r="M4007" s="57">
        <f t="shared" si="1272"/>
        <v>254</v>
      </c>
      <c r="N4007" s="57">
        <f t="shared" si="1273"/>
        <v>56</v>
      </c>
    </row>
    <row r="4008" spans="1:14" x14ac:dyDescent="0.25">
      <c r="A4008">
        <v>245</v>
      </c>
      <c r="B4008" s="1">
        <v>44158</v>
      </c>
      <c r="C4008" s="57" t="str">
        <f>IF(Ventas[[#This Row],[Fecha ]]="","",+TEXT(B4008,"mmmm"))</f>
        <v>noviembre</v>
      </c>
      <c r="D4008" s="57" t="str">
        <f>IFERROR(+VLOOKUP(Ventas[[#This Row],[Codigo de Producto]],Productos[#All],3,FALSE),"")</f>
        <v>Otro</v>
      </c>
      <c r="E4008" t="s">
        <v>860</v>
      </c>
      <c r="F4008" s="57" t="str">
        <f>IFERROR(+VLOOKUP(Ventas[[#This Row],[Codigo de Producto]],Productos[#All],4,FALSE),"")</f>
        <v>Ácido Muriático</v>
      </c>
      <c r="G4008">
        <v>1</v>
      </c>
      <c r="H4008">
        <v>60</v>
      </c>
      <c r="I4008" s="57">
        <f>IF(Ventas[[#This Row],[Cantidad]]="","",+Ventas[[#This Row],[Cantidad]]*Ventas[[#This Row],[Precio]])</f>
        <v>60</v>
      </c>
      <c r="J4008" s="57" t="str">
        <f>IFERROR(+VLOOKUP(Ventas[[#This Row],[Codigo de Producto]],Productos[#All],2,FALSE),"")</f>
        <v>Rodriguez</v>
      </c>
      <c r="K4008" s="57">
        <f>IFERROR(+VLOOKUP(Ventas[[#This Row],[Codigo de Producto]],Productos[#All],9,FALSE),"")</f>
        <v>50.5</v>
      </c>
      <c r="M4008" s="57">
        <f t="shared" si="1272"/>
        <v>50.5</v>
      </c>
      <c r="N4008" s="57">
        <f t="shared" si="1273"/>
        <v>9.5</v>
      </c>
    </row>
    <row r="4009" spans="1:14" x14ac:dyDescent="0.25">
      <c r="A4009">
        <v>246</v>
      </c>
      <c r="B4009" s="1">
        <v>44158</v>
      </c>
      <c r="C4009" s="57" t="str">
        <f>IF(Ventas[[#This Row],[Fecha ]]="","",+TEXT(B4009,"mmmm"))</f>
        <v>noviembre</v>
      </c>
      <c r="D4009" s="57" t="str">
        <f>IFERROR(+VLOOKUP(Ventas[[#This Row],[Codigo de Producto]],Productos[#All],3,FALSE),"")</f>
        <v>Cerámica</v>
      </c>
      <c r="E4009" t="s">
        <v>691</v>
      </c>
      <c r="F4009" s="57" t="str">
        <f>IFERROR(+VLOOKUP(Ventas[[#This Row],[Codigo de Producto]],Productos[#All],4,FALSE),"")</f>
        <v>Madera Dinizia Oscuro</v>
      </c>
      <c r="G4009">
        <f>5/9</f>
        <v>0.55555555555555558</v>
      </c>
      <c r="H4009">
        <v>240</v>
      </c>
      <c r="I4009" s="57">
        <f>IF(Ventas[[#This Row],[Cantidad]]="","",+Ventas[[#This Row],[Cantidad]]*Ventas[[#This Row],[Precio]])</f>
        <v>133.33333333333334</v>
      </c>
      <c r="J4009" s="57" t="str">
        <f>IFERROR(+VLOOKUP(Ventas[[#This Row],[Codigo de Producto]],Productos[#All],2,FALSE),"")</f>
        <v>Comasa</v>
      </c>
      <c r="K4009" s="57">
        <f>IFERROR(+VLOOKUP(Ventas[[#This Row],[Codigo de Producto]],Productos[#All],9,FALSE),"")</f>
        <v>212</v>
      </c>
      <c r="M4009" s="57">
        <f t="shared" si="1272"/>
        <v>117.77777777777779</v>
      </c>
      <c r="N4009" s="57">
        <f t="shared" si="1273"/>
        <v>15.555555555555557</v>
      </c>
    </row>
    <row r="4010" spans="1:14" x14ac:dyDescent="0.25">
      <c r="A4010">
        <v>247</v>
      </c>
      <c r="B4010" s="1">
        <v>44158</v>
      </c>
      <c r="C4010" s="57" t="str">
        <f>IF(Ventas[[#This Row],[Fecha ]]="","",+TEXT(B4010,"mmmm"))</f>
        <v>noviembre</v>
      </c>
      <c r="D4010" s="57" t="str">
        <f>IFERROR(+VLOOKUP(Ventas[[#This Row],[Codigo de Producto]],Productos[#All],3,FALSE),"")</f>
        <v>Porcelana</v>
      </c>
      <c r="E4010" t="s">
        <v>708</v>
      </c>
      <c r="F4010" s="57" t="str">
        <f>IFERROR(+VLOOKUP(Ventas[[#This Row],[Codigo de Producto]],Productos[#All],4,FALSE),"")</f>
        <v xml:space="preserve">Porcelana Maya </v>
      </c>
      <c r="G4010">
        <v>3</v>
      </c>
      <c r="H4010">
        <v>60</v>
      </c>
      <c r="I4010" s="57">
        <f>IF(Ventas[[#This Row],[Cantidad]]="","",+Ventas[[#This Row],[Cantidad]]*Ventas[[#This Row],[Precio]])</f>
        <v>180</v>
      </c>
      <c r="J4010" s="57" t="str">
        <f>IFERROR(+VLOOKUP(Ventas[[#This Row],[Codigo de Producto]],Productos[#All],2,FALSE),"")</f>
        <v>Martinez</v>
      </c>
      <c r="K4010" s="57">
        <f>IFERROR(+VLOOKUP(Ventas[[#This Row],[Codigo de Producto]],Productos[#All],9,FALSE),"")</f>
        <v>33.333333333333336</v>
      </c>
      <c r="M4010" s="57">
        <f t="shared" si="1272"/>
        <v>100</v>
      </c>
      <c r="N4010" s="57">
        <f t="shared" si="1273"/>
        <v>80</v>
      </c>
    </row>
    <row r="4011" spans="1:14" x14ac:dyDescent="0.25">
      <c r="A4011">
        <v>248</v>
      </c>
      <c r="B4011" s="1">
        <v>44158</v>
      </c>
      <c r="C4011" s="57" t="str">
        <f>IF(Ventas[[#This Row],[Fecha ]]="","",+TEXT(B4011,"mmmm"))</f>
        <v>noviembre</v>
      </c>
      <c r="D4011" s="57" t="str">
        <f>IFERROR(+VLOOKUP(Ventas[[#This Row],[Codigo de Producto]],Productos[#All],3,FALSE),"")</f>
        <v>Cerámica</v>
      </c>
      <c r="E4011" t="s">
        <v>680</v>
      </c>
      <c r="F4011" s="57" t="str">
        <f>IFERROR(+VLOOKUP(Ventas[[#This Row],[Codigo de Producto]],Productos[#All],4,FALSE),"")</f>
        <v>Sunset Beige</v>
      </c>
      <c r="G4011">
        <f>4/9</f>
        <v>0.44444444444444442</v>
      </c>
      <c r="H4011">
        <v>280</v>
      </c>
      <c r="I4011" s="57">
        <f>IF(Ventas[[#This Row],[Cantidad]]="","",+Ventas[[#This Row],[Cantidad]]*Ventas[[#This Row],[Precio]])</f>
        <v>124.44444444444444</v>
      </c>
      <c r="J4011" s="57" t="str">
        <f>IFERROR(+VLOOKUP(Ventas[[#This Row],[Codigo de Producto]],Productos[#All],2,FALSE),"")</f>
        <v>Comasa</v>
      </c>
      <c r="K4011" s="57">
        <f>IFERROR(+VLOOKUP(Ventas[[#This Row],[Codigo de Producto]],Productos[#All],9,FALSE),"")</f>
        <v>248</v>
      </c>
      <c r="M4011" s="57">
        <f t="shared" si="1272"/>
        <v>110.22222222222221</v>
      </c>
      <c r="N4011" s="57">
        <f t="shared" si="1273"/>
        <v>14.222222222222229</v>
      </c>
    </row>
    <row r="4012" spans="1:14" x14ac:dyDescent="0.25">
      <c r="A4012">
        <v>249</v>
      </c>
      <c r="B4012" s="1">
        <v>44158</v>
      </c>
      <c r="C4012" s="57" t="str">
        <f>IF(Ventas[[#This Row],[Fecha ]]="","",+TEXT(B4012,"mmmm"))</f>
        <v>noviembre</v>
      </c>
      <c r="D4012" s="57" t="str">
        <f>IFERROR(+VLOOKUP(Ventas[[#This Row],[Codigo de Producto]],Productos[#All],3,FALSE),"")</f>
        <v>Cerámica</v>
      </c>
      <c r="E4012" t="s">
        <v>646</v>
      </c>
      <c r="F4012" s="57" t="str">
        <f>IFERROR(+VLOOKUP(Ventas[[#This Row],[Codigo de Producto]],Productos[#All],4,FALSE),"")</f>
        <v>Zacatepec Marrón</v>
      </c>
      <c r="G4012">
        <v>1</v>
      </c>
      <c r="H4012">
        <v>250</v>
      </c>
      <c r="I4012" s="57">
        <f>IF(Ventas[[#This Row],[Cantidad]]="","",+Ventas[[#This Row],[Cantidad]]*Ventas[[#This Row],[Precio]])</f>
        <v>250</v>
      </c>
      <c r="J4012" s="57" t="str">
        <f>IFERROR(+VLOOKUP(Ventas[[#This Row],[Codigo de Producto]],Productos[#All],2,FALSE),"")</f>
        <v>Dispiasa</v>
      </c>
      <c r="K4012" s="57">
        <f>IFERROR(+VLOOKUP(Ventas[[#This Row],[Codigo de Producto]],Productos[#All],9,FALSE),"")</f>
        <v>219</v>
      </c>
      <c r="M4012" s="57">
        <f t="shared" si="1272"/>
        <v>219</v>
      </c>
      <c r="N4012" s="57">
        <f t="shared" si="1273"/>
        <v>31</v>
      </c>
    </row>
    <row r="4013" spans="1:14" x14ac:dyDescent="0.25">
      <c r="A4013">
        <v>250</v>
      </c>
      <c r="B4013" s="1">
        <v>44158</v>
      </c>
      <c r="C4013" s="57" t="str">
        <f>IF(Ventas[[#This Row],[Fecha ]]="","",+TEXT(B4013,"mmmm"))</f>
        <v>noviembre</v>
      </c>
      <c r="D4013" s="57" t="str">
        <f>IFERROR(+VLOOKUP(Ventas[[#This Row],[Codigo de Producto]],Productos[#All],3,FALSE),"")</f>
        <v>Cerámica</v>
      </c>
      <c r="E4013" t="s">
        <v>691</v>
      </c>
      <c r="F4013" s="57" t="str">
        <f>IFERROR(+VLOOKUP(Ventas[[#This Row],[Codigo de Producto]],Productos[#All],4,FALSE),"")</f>
        <v>Madera Dinizia Oscuro</v>
      </c>
      <c r="G4013">
        <v>15</v>
      </c>
      <c r="H4013">
        <v>225</v>
      </c>
      <c r="I4013" s="57">
        <f>IF(Ventas[[#This Row],[Cantidad]]="","",+Ventas[[#This Row],[Cantidad]]*Ventas[[#This Row],[Precio]])</f>
        <v>3375</v>
      </c>
      <c r="J4013" s="57" t="str">
        <f>IFERROR(+VLOOKUP(Ventas[[#This Row],[Codigo de Producto]],Productos[#All],2,FALSE),"")</f>
        <v>Comasa</v>
      </c>
      <c r="K4013" s="57">
        <f>IFERROR(+VLOOKUP(Ventas[[#This Row],[Codigo de Producto]],Productos[#All],9,FALSE),"")</f>
        <v>212</v>
      </c>
      <c r="M4013" s="57">
        <f t="shared" si="1272"/>
        <v>3180</v>
      </c>
      <c r="N4013" s="57">
        <f t="shared" si="1273"/>
        <v>195</v>
      </c>
    </row>
    <row r="4014" spans="1:14" x14ac:dyDescent="0.25">
      <c r="A4014">
        <v>251</v>
      </c>
      <c r="B4014" s="1">
        <v>44158</v>
      </c>
      <c r="C4014" s="57" t="str">
        <f>IF(Ventas[[#This Row],[Fecha ]]="","",+TEXT(B4014,"mmmm"))</f>
        <v>noviembre</v>
      </c>
      <c r="D4014" s="57" t="str">
        <f>IFERROR(+VLOOKUP(Ventas[[#This Row],[Codigo de Producto]],Productos[#All],3,FALSE),"")</f>
        <v>Plasterbond</v>
      </c>
      <c r="E4014" t="s">
        <v>713</v>
      </c>
      <c r="F4014" s="57" t="str">
        <f>IFERROR(+VLOOKUP(Ventas[[#This Row],[Codigo de Producto]],Productos[#All],4,FALSE),"")</f>
        <v>Plasterbond Klebe</v>
      </c>
      <c r="G4014">
        <v>2</v>
      </c>
      <c r="H4014">
        <v>100</v>
      </c>
      <c r="I4014" s="57">
        <f>IF(Ventas[[#This Row],[Cantidad]]="","",+Ventas[[#This Row],[Cantidad]]*Ventas[[#This Row],[Precio]])</f>
        <v>200</v>
      </c>
      <c r="J4014" s="57" t="str">
        <f>IFERROR(+VLOOKUP(Ventas[[#This Row],[Codigo de Producto]],Productos[#All],2,FALSE),"")</f>
        <v>Aginsa</v>
      </c>
      <c r="K4014" s="57">
        <f>IFERROR(+VLOOKUP(Ventas[[#This Row],[Codigo de Producto]],Productos[#All],9,FALSE),"")</f>
        <v>80</v>
      </c>
      <c r="M4014" s="57">
        <f t="shared" ref="M4014:M4045" si="1274">+IF(K4014=0,(""),(K4014*G4014))</f>
        <v>160</v>
      </c>
      <c r="N4014" s="57">
        <f t="shared" ref="N4014:N4077" si="1275">+IF(K4014=0,(""),(I4014-M4014))</f>
        <v>40</v>
      </c>
    </row>
    <row r="4015" spans="1:14" x14ac:dyDescent="0.25">
      <c r="A4015">
        <v>252</v>
      </c>
      <c r="B4015" s="1">
        <v>44158</v>
      </c>
      <c r="C4015" s="57" t="str">
        <f>IF(Ventas[[#This Row],[Fecha ]]="","",+TEXT(B4015,"mmmm"))</f>
        <v>noviembre</v>
      </c>
      <c r="D4015" s="57" t="str">
        <f>IFERROR(+VLOOKUP(Ventas[[#This Row],[Codigo de Producto]],Productos[#All],3,FALSE),"")</f>
        <v>Azulejos</v>
      </c>
      <c r="E4015" t="s">
        <v>637</v>
      </c>
      <c r="F4015" s="57" t="str">
        <f>IFERROR(+VLOOKUP(Ventas[[#This Row],[Codigo de Producto]],Productos[#All],4,FALSE),"")</f>
        <v>Marsella Blanco</v>
      </c>
      <c r="G4015">
        <v>5</v>
      </c>
      <c r="H4015">
        <v>300</v>
      </c>
      <c r="I4015" s="57">
        <f>IF(Ventas[[#This Row],[Cantidad]]="","",+Ventas[[#This Row],[Cantidad]]*Ventas[[#This Row],[Precio]])</f>
        <v>1500</v>
      </c>
      <c r="J4015" s="57" t="str">
        <f>IFERROR(+VLOOKUP(Ventas[[#This Row],[Codigo de Producto]],Productos[#All],2,FALSE),"")</f>
        <v>Dispiasa</v>
      </c>
      <c r="K4015" s="57">
        <f>IFERROR(+VLOOKUP(Ventas[[#This Row],[Codigo de Producto]],Productos[#All],9,FALSE),"")</f>
        <v>268</v>
      </c>
      <c r="M4015" s="57">
        <f t="shared" si="1274"/>
        <v>1340</v>
      </c>
      <c r="N4015" s="57">
        <f t="shared" si="1275"/>
        <v>160</v>
      </c>
    </row>
    <row r="4016" spans="1:14" x14ac:dyDescent="0.25">
      <c r="A4016">
        <v>253</v>
      </c>
      <c r="B4016" s="1">
        <v>44159</v>
      </c>
      <c r="C4016" s="57" t="str">
        <f>IF(Ventas[[#This Row],[Fecha ]]="","",+TEXT(B4016,"mmmm"))</f>
        <v>noviembre</v>
      </c>
      <c r="D4016" s="57" t="str">
        <f>IFERROR(+VLOOKUP(Ventas[[#This Row],[Codigo de Producto]],Productos[#All],3,FALSE),"")</f>
        <v>Porcelana</v>
      </c>
      <c r="E4016" t="s">
        <v>708</v>
      </c>
      <c r="F4016" s="57" t="str">
        <f>IFERROR(+VLOOKUP(Ventas[[#This Row],[Codigo de Producto]],Productos[#All],4,FALSE),"")</f>
        <v xml:space="preserve">Porcelana Maya </v>
      </c>
      <c r="G4016">
        <v>2</v>
      </c>
      <c r="H4016">
        <v>60</v>
      </c>
      <c r="I4016" s="57">
        <f>IF(Ventas[[#This Row],[Cantidad]]="","",+Ventas[[#This Row],[Cantidad]]*Ventas[[#This Row],[Precio]])</f>
        <v>120</v>
      </c>
      <c r="J4016" s="57" t="str">
        <f>IFERROR(+VLOOKUP(Ventas[[#This Row],[Codigo de Producto]],Productos[#All],2,FALSE),"")</f>
        <v>Martinez</v>
      </c>
      <c r="K4016" s="57">
        <f>IFERROR(+VLOOKUP(Ventas[[#This Row],[Codigo de Producto]],Productos[#All],9,FALSE),"")</f>
        <v>33.333333333333336</v>
      </c>
      <c r="M4016" s="57">
        <f t="shared" si="1274"/>
        <v>66.666666666666671</v>
      </c>
      <c r="N4016" s="57">
        <f t="shared" si="1275"/>
        <v>53.333333333333329</v>
      </c>
    </row>
    <row r="4017" spans="1:14" x14ac:dyDescent="0.25">
      <c r="A4017">
        <v>254</v>
      </c>
      <c r="B4017" s="1">
        <v>44159</v>
      </c>
      <c r="C4017" s="57" t="str">
        <f>IF(Ventas[[#This Row],[Fecha ]]="","",+TEXT(B4017,"mmmm"))</f>
        <v>noviembre</v>
      </c>
      <c r="D4017" s="57" t="str">
        <f>IFERROR(+VLOOKUP(Ventas[[#This Row],[Codigo de Producto]],Productos[#All],3,FALSE),"")</f>
        <v>Cerámica</v>
      </c>
      <c r="E4017" t="s">
        <v>691</v>
      </c>
      <c r="F4017" s="57" t="str">
        <f>IFERROR(+VLOOKUP(Ventas[[#This Row],[Codigo de Producto]],Productos[#All],4,FALSE),"")</f>
        <v>Madera Dinizia Oscuro</v>
      </c>
      <c r="G4017">
        <v>14.45</v>
      </c>
      <c r="H4017">
        <v>240</v>
      </c>
      <c r="I4017" s="57">
        <f>IF(Ventas[[#This Row],[Cantidad]]="","",+Ventas[[#This Row],[Cantidad]]*Ventas[[#This Row],[Precio]])</f>
        <v>3468</v>
      </c>
      <c r="J4017" s="57" t="str">
        <f>IFERROR(+VLOOKUP(Ventas[[#This Row],[Codigo de Producto]],Productos[#All],2,FALSE),"")</f>
        <v>Comasa</v>
      </c>
      <c r="K4017" s="57">
        <f>IFERROR(+VLOOKUP(Ventas[[#This Row],[Codigo de Producto]],Productos[#All],9,FALSE),"")</f>
        <v>212</v>
      </c>
      <c r="M4017" s="57">
        <f t="shared" si="1274"/>
        <v>3063.3999999999996</v>
      </c>
      <c r="N4017" s="57">
        <f t="shared" si="1275"/>
        <v>404.60000000000036</v>
      </c>
    </row>
    <row r="4018" spans="1:14" x14ac:dyDescent="0.25">
      <c r="A4018">
        <v>255</v>
      </c>
      <c r="B4018" s="1">
        <v>44159</v>
      </c>
      <c r="C4018" s="57" t="str">
        <f>IF(Ventas[[#This Row],[Fecha ]]="","",+TEXT(B4018,"mmmm"))</f>
        <v>noviembre</v>
      </c>
      <c r="D4018" s="57" t="str">
        <f>IFERROR(+VLOOKUP(Ventas[[#This Row],[Codigo de Producto]],Productos[#All],3,FALSE),"")</f>
        <v>Cerámica</v>
      </c>
      <c r="E4018" t="s">
        <v>646</v>
      </c>
      <c r="F4018" s="57" t="str">
        <f>IFERROR(+VLOOKUP(Ventas[[#This Row],[Codigo de Producto]],Productos[#All],4,FALSE),"")</f>
        <v>Zacatepec Marrón</v>
      </c>
      <c r="G4018">
        <f>6/10</f>
        <v>0.6</v>
      </c>
      <c r="H4018">
        <v>250</v>
      </c>
      <c r="I4018" s="57">
        <f>IF(Ventas[[#This Row],[Cantidad]]="","",+Ventas[[#This Row],[Cantidad]]*Ventas[[#This Row],[Precio]])</f>
        <v>150</v>
      </c>
      <c r="J4018" s="57" t="str">
        <f>IFERROR(+VLOOKUP(Ventas[[#This Row],[Codigo de Producto]],Productos[#All],2,FALSE),"")</f>
        <v>Dispiasa</v>
      </c>
      <c r="K4018" s="57">
        <f>IFERROR(+VLOOKUP(Ventas[[#This Row],[Codigo de Producto]],Productos[#All],9,FALSE),"")</f>
        <v>219</v>
      </c>
      <c r="M4018" s="57">
        <f t="shared" si="1274"/>
        <v>131.4</v>
      </c>
      <c r="N4018" s="57">
        <f t="shared" si="1275"/>
        <v>18.599999999999994</v>
      </c>
    </row>
    <row r="4019" spans="1:14" x14ac:dyDescent="0.25">
      <c r="A4019">
        <v>256</v>
      </c>
      <c r="B4019" s="1">
        <v>44159</v>
      </c>
      <c r="C4019" s="57" t="str">
        <f>IF(Ventas[[#This Row],[Fecha ]]="","",+TEXT(B4019,"mmmm"))</f>
        <v>noviembre</v>
      </c>
      <c r="D4019" s="57" t="str">
        <f>IFERROR(+VLOOKUP(Ventas[[#This Row],[Codigo de Producto]],Productos[#All],3,FALSE),"")</f>
        <v>Cerámica</v>
      </c>
      <c r="E4019" t="s">
        <v>691</v>
      </c>
      <c r="F4019" s="57" t="str">
        <f>IFERROR(+VLOOKUP(Ventas[[#This Row],[Codigo de Producto]],Productos[#All],4,FALSE),"")</f>
        <v>Madera Dinizia Oscuro</v>
      </c>
      <c r="G4019">
        <v>26.5</v>
      </c>
      <c r="H4019">
        <v>240</v>
      </c>
      <c r="I4019" s="57">
        <f>IF(Ventas[[#This Row],[Cantidad]]="","",+Ventas[[#This Row],[Cantidad]]*Ventas[[#This Row],[Precio]])</f>
        <v>6360</v>
      </c>
      <c r="J4019" s="57" t="str">
        <f>IFERROR(+VLOOKUP(Ventas[[#This Row],[Codigo de Producto]],Productos[#All],2,FALSE),"")</f>
        <v>Comasa</v>
      </c>
      <c r="K4019" s="57">
        <f>IFERROR(+VLOOKUP(Ventas[[#This Row],[Codigo de Producto]],Productos[#All],9,FALSE),"")</f>
        <v>212</v>
      </c>
      <c r="M4019" s="57">
        <f t="shared" si="1274"/>
        <v>5618</v>
      </c>
      <c r="N4019" s="57">
        <f t="shared" si="1275"/>
        <v>742</v>
      </c>
    </row>
    <row r="4020" spans="1:14" x14ac:dyDescent="0.25">
      <c r="A4020">
        <v>257</v>
      </c>
      <c r="B4020" s="1">
        <v>44159</v>
      </c>
      <c r="C4020" s="57" t="str">
        <f>IF(Ventas[[#This Row],[Fecha ]]="","",+TEXT(B4020,"mmmm"))</f>
        <v>noviembre</v>
      </c>
      <c r="D4020" s="57" t="str">
        <f>IFERROR(+VLOOKUP(Ventas[[#This Row],[Codigo de Producto]],Productos[#All],3,FALSE),"")</f>
        <v>Bond</v>
      </c>
      <c r="E4020" t="s">
        <v>704</v>
      </c>
      <c r="F4020" s="57" t="str">
        <f>IFERROR(+VLOOKUP(Ventas[[#This Row],[Codigo de Producto]],Productos[#All],4,FALSE),"")</f>
        <v>Drytec Bond Plus</v>
      </c>
      <c r="G4020">
        <v>15</v>
      </c>
      <c r="H4020">
        <v>150</v>
      </c>
      <c r="I4020" s="57">
        <f>IF(Ventas[[#This Row],[Cantidad]]="","",+Ventas[[#This Row],[Cantidad]]*Ventas[[#This Row],[Precio]])</f>
        <v>2250</v>
      </c>
      <c r="J4020" s="57" t="str">
        <f>IFERROR(+VLOOKUP(Ventas[[#This Row],[Codigo de Producto]],Productos[#All],2,FALSE),"")</f>
        <v>Comasa</v>
      </c>
      <c r="K4020" s="57">
        <f>IFERROR(+VLOOKUP(Ventas[[#This Row],[Codigo de Producto]],Productos[#All],9,FALSE),"")</f>
        <v>127</v>
      </c>
      <c r="M4020" s="57">
        <f t="shared" si="1274"/>
        <v>1905</v>
      </c>
      <c r="N4020" s="57">
        <f t="shared" si="1275"/>
        <v>345</v>
      </c>
    </row>
    <row r="4021" spans="1:14" x14ac:dyDescent="0.25">
      <c r="A4021">
        <v>258</v>
      </c>
      <c r="B4021" s="1">
        <v>44159</v>
      </c>
      <c r="C4021" s="57" t="str">
        <f>IF(Ventas[[#This Row],[Fecha ]]="","",+TEXT(B4021,"mmmm"))</f>
        <v>noviembre</v>
      </c>
      <c r="D4021" s="57" t="str">
        <f>IFERROR(+VLOOKUP(Ventas[[#This Row],[Codigo de Producto]],Productos[#All],3,FALSE),"")</f>
        <v>Porcelana</v>
      </c>
      <c r="E4021" t="s">
        <v>708</v>
      </c>
      <c r="F4021" s="57" t="str">
        <f>IFERROR(+VLOOKUP(Ventas[[#This Row],[Codigo de Producto]],Productos[#All],4,FALSE),"")</f>
        <v xml:space="preserve">Porcelana Maya </v>
      </c>
      <c r="G4021">
        <v>1</v>
      </c>
      <c r="H4021">
        <v>60</v>
      </c>
      <c r="I4021" s="57">
        <f>IF(Ventas[[#This Row],[Cantidad]]="","",+Ventas[[#This Row],[Cantidad]]*Ventas[[#This Row],[Precio]])</f>
        <v>60</v>
      </c>
      <c r="J4021" s="57" t="str">
        <f>IFERROR(+VLOOKUP(Ventas[[#This Row],[Codigo de Producto]],Productos[#All],2,FALSE),"")</f>
        <v>Martinez</v>
      </c>
      <c r="K4021" s="57">
        <f>IFERROR(+VLOOKUP(Ventas[[#This Row],[Codigo de Producto]],Productos[#All],9,FALSE),"")</f>
        <v>33.333333333333336</v>
      </c>
      <c r="M4021" s="57">
        <f t="shared" si="1274"/>
        <v>33.333333333333336</v>
      </c>
      <c r="N4021" s="57">
        <f t="shared" si="1275"/>
        <v>26.666666666666664</v>
      </c>
    </row>
    <row r="4022" spans="1:14" x14ac:dyDescent="0.25">
      <c r="A4022">
        <v>259</v>
      </c>
      <c r="B4022" s="1">
        <v>44159</v>
      </c>
      <c r="C4022" s="57" t="str">
        <f>IF(Ventas[[#This Row],[Fecha ]]="","",+TEXT(B4022,"mmmm"))</f>
        <v>noviembre</v>
      </c>
      <c r="D4022" s="57" t="str">
        <f>IFERROR(+VLOOKUP(Ventas[[#This Row],[Codigo de Producto]],Productos[#All],3,FALSE),"")</f>
        <v>Lavamano</v>
      </c>
      <c r="E4022" t="s">
        <v>619</v>
      </c>
      <c r="F4022" s="57" t="str">
        <f>IFERROR(+VLOOKUP(Ventas[[#This Row],[Codigo de Producto]],Productos[#All],4,FALSE),"")</f>
        <v>Lavamano Aqua Blanco</v>
      </c>
      <c r="G4022">
        <v>2</v>
      </c>
      <c r="H4022">
        <v>900</v>
      </c>
      <c r="I4022" s="57">
        <f>IF(Ventas[[#This Row],[Cantidad]]="","",+Ventas[[#This Row],[Cantidad]]*Ventas[[#This Row],[Precio]])</f>
        <v>1800</v>
      </c>
      <c r="J4022" s="57" t="str">
        <f>IFERROR(+VLOOKUP(Ventas[[#This Row],[Codigo de Producto]],Productos[#All],2,FALSE),"")</f>
        <v>Dispiasa</v>
      </c>
      <c r="K4022" s="57">
        <f>IFERROR(+VLOOKUP(Ventas[[#This Row],[Codigo de Producto]],Productos[#All],9,FALSE),"")</f>
        <v>480</v>
      </c>
      <c r="M4022" s="57">
        <f t="shared" si="1274"/>
        <v>960</v>
      </c>
      <c r="N4022" s="57">
        <f t="shared" si="1275"/>
        <v>840</v>
      </c>
    </row>
    <row r="4023" spans="1:14" x14ac:dyDescent="0.25">
      <c r="A4023">
        <v>260</v>
      </c>
      <c r="B4023" s="1">
        <v>44159</v>
      </c>
      <c r="C4023" s="57" t="str">
        <f>IF(Ventas[[#This Row],[Fecha ]]="","",+TEXT(B4023,"mmmm"))</f>
        <v>noviembre</v>
      </c>
      <c r="D4023" s="57" t="str">
        <f>IFERROR(+VLOOKUP(Ventas[[#This Row],[Codigo de Producto]],Productos[#All],3,FALSE),"")</f>
        <v>Lavamano</v>
      </c>
      <c r="E4023" t="s">
        <v>829</v>
      </c>
      <c r="F4023" s="57" t="str">
        <f>IFERROR(+VLOOKUP(Ventas[[#This Row],[Codigo de Producto]],Productos[#All],4,FALSE),"")</f>
        <v>Trampa Cespol Fama</v>
      </c>
      <c r="G4023">
        <v>2</v>
      </c>
      <c r="H4023">
        <v>60</v>
      </c>
      <c r="I4023" s="57">
        <f>IF(Ventas[[#This Row],[Cantidad]]="","",+Ventas[[#This Row],[Cantidad]]*Ventas[[#This Row],[Precio]])</f>
        <v>120</v>
      </c>
      <c r="J4023" s="57" t="str">
        <f>IFERROR(+VLOOKUP(Ventas[[#This Row],[Codigo de Producto]],Productos[#All],2,FALSE),"")</f>
        <v>Silco</v>
      </c>
      <c r="K4023" s="57">
        <f ca="1">IFERROR(+VLOOKUP(Ventas[[#This Row],[Codigo de Producto]],Productos[#All],9,FALSE),"")</f>
        <v>0</v>
      </c>
      <c r="M4023" s="57" t="str">
        <f t="shared" ca="1" si="1274"/>
        <v/>
      </c>
      <c r="N4023" s="57" t="str">
        <f t="shared" ca="1" si="1275"/>
        <v/>
      </c>
    </row>
    <row r="4024" spans="1:14" x14ac:dyDescent="0.25">
      <c r="A4024">
        <v>261</v>
      </c>
      <c r="B4024" s="1">
        <v>44159</v>
      </c>
      <c r="C4024" s="57" t="str">
        <f>IF(Ventas[[#This Row],[Fecha ]]="","",+TEXT(B4024,"mmmm"))</f>
        <v>noviembre</v>
      </c>
      <c r="D4024" s="57" t="str">
        <f>IFERROR(+VLOOKUP(Ventas[[#This Row],[Codigo de Producto]],Productos[#All],3,FALSE),"")</f>
        <v>Lavamano</v>
      </c>
      <c r="E4024" t="s">
        <v>830</v>
      </c>
      <c r="F4024" s="57" t="str">
        <f>IFERROR(+VLOOKUP(Ventas[[#This Row],[Codigo de Producto]],Productos[#All],4,FALSE),"")</f>
        <v>Centro de Lavamano Cromada</v>
      </c>
      <c r="G4024">
        <v>2</v>
      </c>
      <c r="H4024">
        <v>60</v>
      </c>
      <c r="I4024" s="57">
        <f>IF(Ventas[[#This Row],[Cantidad]]="","",+Ventas[[#This Row],[Cantidad]]*Ventas[[#This Row],[Precio]])</f>
        <v>120</v>
      </c>
      <c r="J4024" s="57" t="str">
        <f>IFERROR(+VLOOKUP(Ventas[[#This Row],[Codigo de Producto]],Productos[#All],2,FALSE),"")</f>
        <v>Silco</v>
      </c>
      <c r="K4024" s="57">
        <f ca="1">IFERROR(+VLOOKUP(Ventas[[#This Row],[Codigo de Producto]],Productos[#All],9,FALSE),"")</f>
        <v>0</v>
      </c>
      <c r="M4024" s="57" t="str">
        <f t="shared" ca="1" si="1274"/>
        <v/>
      </c>
      <c r="N4024" s="57" t="str">
        <f t="shared" ca="1" si="1275"/>
        <v/>
      </c>
    </row>
    <row r="4025" spans="1:14" x14ac:dyDescent="0.25">
      <c r="A4025">
        <v>262</v>
      </c>
      <c r="B4025" s="1">
        <v>44159</v>
      </c>
      <c r="C4025" s="57" t="str">
        <f>IF(Ventas[[#This Row],[Fecha ]]="","",+TEXT(B4025,"mmmm"))</f>
        <v>noviembre</v>
      </c>
      <c r="D4025" s="57" t="str">
        <f>IFERROR(+VLOOKUP(Ventas[[#This Row],[Codigo de Producto]],Productos[#All],3,FALSE),"")</f>
        <v>Lavamano</v>
      </c>
      <c r="E4025" t="s">
        <v>868</v>
      </c>
      <c r="F4025" s="57" t="str">
        <f>IFERROR(+VLOOKUP(Ventas[[#This Row],[Codigo de Producto]],Productos[#All],4,FALSE),"")</f>
        <v>Llave de Lavamano Cromada</v>
      </c>
      <c r="G4025">
        <v>2</v>
      </c>
      <c r="H4025">
        <v>80</v>
      </c>
      <c r="I4025" s="57">
        <f>IF(Ventas[[#This Row],[Cantidad]]="","",+Ventas[[#This Row],[Cantidad]]*Ventas[[#This Row],[Precio]])</f>
        <v>160</v>
      </c>
      <c r="J4025" s="57" t="str">
        <f>IFERROR(+VLOOKUP(Ventas[[#This Row],[Codigo de Producto]],Productos[#All],2,FALSE),"")</f>
        <v>Silco</v>
      </c>
      <c r="K4025" s="57">
        <f>IFERROR(+VLOOKUP(Ventas[[#This Row],[Codigo de Producto]],Productos[#All],9,FALSE),"")</f>
        <v>72</v>
      </c>
      <c r="M4025" s="57">
        <f t="shared" si="1274"/>
        <v>144</v>
      </c>
      <c r="N4025" s="57">
        <f t="shared" si="1275"/>
        <v>16</v>
      </c>
    </row>
    <row r="4026" spans="1:14" x14ac:dyDescent="0.25">
      <c r="A4026">
        <v>263</v>
      </c>
      <c r="B4026" s="1">
        <v>44159</v>
      </c>
      <c r="C4026" s="57" t="str">
        <f>IF(Ventas[[#This Row],[Fecha ]]="","",+TEXT(B4026,"mmmm"))</f>
        <v>noviembre</v>
      </c>
      <c r="D4026" s="57" t="str">
        <f>IFERROR(+VLOOKUP(Ventas[[#This Row],[Codigo de Producto]],Productos[#All],3,FALSE),"")</f>
        <v>Porcelanato</v>
      </c>
      <c r="E4026" t="s">
        <v>694</v>
      </c>
      <c r="F4026" s="57" t="str">
        <f>IFERROR(+VLOOKUP(Ventas[[#This Row],[Codigo de Producto]],Productos[#All],4,FALSE),"")</f>
        <v>Beige Marfil</v>
      </c>
      <c r="G4026">
        <v>57</v>
      </c>
      <c r="H4026">
        <v>380</v>
      </c>
      <c r="I4026" s="57">
        <f>IF(Ventas[[#This Row],[Cantidad]]="","",+Ventas[[#This Row],[Cantidad]]*Ventas[[#This Row],[Precio]])</f>
        <v>21660</v>
      </c>
      <c r="J4026" s="57" t="str">
        <f>IFERROR(+VLOOKUP(Ventas[[#This Row],[Codigo de Producto]],Productos[#All],2,FALSE),"")</f>
        <v>Halcón</v>
      </c>
      <c r="K4026" s="57">
        <f>IFERROR(+VLOOKUP(Ventas[[#This Row],[Codigo de Producto]],Productos[#All],9,FALSE),"")</f>
        <v>340</v>
      </c>
      <c r="M4026" s="57">
        <f t="shared" si="1274"/>
        <v>19380</v>
      </c>
      <c r="N4026" s="57">
        <f t="shared" si="1275"/>
        <v>2280</v>
      </c>
    </row>
    <row r="4027" spans="1:14" x14ac:dyDescent="0.25">
      <c r="A4027">
        <v>264</v>
      </c>
      <c r="B4027" s="1">
        <v>44159</v>
      </c>
      <c r="C4027" s="57" t="str">
        <f>IF(Ventas[[#This Row],[Fecha ]]="","",+TEXT(B4027,"mmmm"))</f>
        <v>noviembre</v>
      </c>
      <c r="D4027" s="57" t="str">
        <f>IFERROR(+VLOOKUP(Ventas[[#This Row],[Codigo de Producto]],Productos[#All],3,FALSE),"")</f>
        <v>Bond</v>
      </c>
      <c r="E4027" t="s">
        <v>704</v>
      </c>
      <c r="F4027" s="57" t="str">
        <f>IFERROR(+VLOOKUP(Ventas[[#This Row],[Codigo de Producto]],Productos[#All],4,FALSE),"")</f>
        <v>Drytec Bond Plus</v>
      </c>
      <c r="G4027">
        <v>25</v>
      </c>
      <c r="H4027">
        <v>155</v>
      </c>
      <c r="I4027" s="57">
        <f>IF(Ventas[[#This Row],[Cantidad]]="","",+Ventas[[#This Row],[Cantidad]]*Ventas[[#This Row],[Precio]])</f>
        <v>3875</v>
      </c>
      <c r="J4027" s="57" t="str">
        <f>IFERROR(+VLOOKUP(Ventas[[#This Row],[Codigo de Producto]],Productos[#All],2,FALSE),"")</f>
        <v>Comasa</v>
      </c>
      <c r="K4027" s="57">
        <f>IFERROR(+VLOOKUP(Ventas[[#This Row],[Codigo de Producto]],Productos[#All],9,FALSE),"")</f>
        <v>127</v>
      </c>
      <c r="M4027" s="57">
        <f t="shared" si="1274"/>
        <v>3175</v>
      </c>
      <c r="N4027" s="57">
        <f t="shared" si="1275"/>
        <v>700</v>
      </c>
    </row>
    <row r="4028" spans="1:14" x14ac:dyDescent="0.25">
      <c r="A4028">
        <v>265</v>
      </c>
      <c r="B4028" s="1">
        <v>44159</v>
      </c>
      <c r="C4028" s="57" t="str">
        <f>IF(Ventas[[#This Row],[Fecha ]]="","",+TEXT(B4028,"mmmm"))</f>
        <v>noviembre</v>
      </c>
      <c r="D4028" s="57" t="str">
        <f>IFERROR(+VLOOKUP(Ventas[[#This Row],[Codigo de Producto]],Productos[#All],3,FALSE),"")</f>
        <v>Separadores</v>
      </c>
      <c r="E4028" t="s">
        <v>720</v>
      </c>
      <c r="F4028" s="57" t="str">
        <f>IFERROR(+VLOOKUP(Ventas[[#This Row],[Codigo de Producto]],Productos[#All],4,FALSE),"")</f>
        <v>Separadores de 3 mm</v>
      </c>
      <c r="G4028">
        <v>3</v>
      </c>
      <c r="H4028">
        <v>35</v>
      </c>
      <c r="I4028" s="57">
        <f>IF(Ventas[[#This Row],[Cantidad]]="","",+Ventas[[#This Row],[Cantidad]]*Ventas[[#This Row],[Precio]])</f>
        <v>105</v>
      </c>
      <c r="J4028" s="57" t="str">
        <f>IFERROR(+VLOOKUP(Ventas[[#This Row],[Codigo de Producto]],Productos[#All],2,FALSE),"")</f>
        <v>Silco</v>
      </c>
      <c r="K4028" s="57">
        <f>IFERROR(+VLOOKUP(Ventas[[#This Row],[Codigo de Producto]],Productos[#All],9,FALSE),"")</f>
        <v>26</v>
      </c>
      <c r="M4028" s="57">
        <f t="shared" si="1274"/>
        <v>78</v>
      </c>
      <c r="N4028" s="57">
        <f t="shared" si="1275"/>
        <v>27</v>
      </c>
    </row>
    <row r="4029" spans="1:14" x14ac:dyDescent="0.25">
      <c r="A4029">
        <v>266</v>
      </c>
      <c r="B4029" s="1">
        <v>44159</v>
      </c>
      <c r="C4029" s="57" t="str">
        <f>IF(Ventas[[#This Row],[Fecha ]]="","",+TEXT(B4029,"mmmm"))</f>
        <v>noviembre</v>
      </c>
      <c r="D4029" s="57" t="str">
        <f>IFERROR(+VLOOKUP(Ventas[[#This Row],[Codigo de Producto]],Productos[#All],3,FALSE),"")</f>
        <v>Pantry</v>
      </c>
      <c r="E4029" t="s">
        <v>740</v>
      </c>
      <c r="F4029" s="57" t="str">
        <f>IFERROR(+VLOOKUP(Ventas[[#This Row],[Codigo de Producto]],Productos[#All],4,FALSE),"")</f>
        <v>Pana de Pantry Tramontina</v>
      </c>
      <c r="G4029">
        <v>1</v>
      </c>
      <c r="H4029">
        <v>1550</v>
      </c>
      <c r="I4029" s="57">
        <f>IF(Ventas[[#This Row],[Cantidad]]="","",+Ventas[[#This Row],[Cantidad]]*Ventas[[#This Row],[Precio]])</f>
        <v>1550</v>
      </c>
      <c r="J4029" s="57" t="str">
        <f>IFERROR(+VLOOKUP(Ventas[[#This Row],[Codigo de Producto]],Productos[#All],2,FALSE),"")</f>
        <v>Dispiasa</v>
      </c>
      <c r="K4029" s="57">
        <f>IFERROR(+VLOOKUP(Ventas[[#This Row],[Codigo de Producto]],Productos[#All],9,FALSE),"")</f>
        <v>1260</v>
      </c>
      <c r="M4029" s="57">
        <f t="shared" si="1274"/>
        <v>1260</v>
      </c>
      <c r="N4029" s="57">
        <f t="shared" si="1275"/>
        <v>290</v>
      </c>
    </row>
    <row r="4030" spans="1:14" x14ac:dyDescent="0.25">
      <c r="A4030">
        <v>267</v>
      </c>
      <c r="B4030" s="1">
        <v>44159</v>
      </c>
      <c r="C4030" s="57" t="str">
        <f>IF(Ventas[[#This Row],[Fecha ]]="","",+TEXT(B4030,"mmmm"))</f>
        <v>noviembre</v>
      </c>
      <c r="D4030" s="57" t="str">
        <f>IFERROR(+VLOOKUP(Ventas[[#This Row],[Codigo de Producto]],Productos[#All],3,FALSE),"")</f>
        <v>Pantry</v>
      </c>
      <c r="E4030" t="s">
        <v>865</v>
      </c>
      <c r="F4030" s="57" t="str">
        <f>IFERROR(+VLOOKUP(Ventas[[#This Row],[Codigo de Producto]],Productos[#All],4,FALSE),"")</f>
        <v>Llave de Pantry Doble Cuello Alto Griven</v>
      </c>
      <c r="G4030">
        <v>1</v>
      </c>
      <c r="H4030">
        <v>650</v>
      </c>
      <c r="I4030" s="57">
        <f>IF(Ventas[[#This Row],[Cantidad]]="","",+Ventas[[#This Row],[Cantidad]]*Ventas[[#This Row],[Precio]])</f>
        <v>650</v>
      </c>
      <c r="J4030" s="57" t="str">
        <f>IFERROR(+VLOOKUP(Ventas[[#This Row],[Codigo de Producto]],Productos[#All],2,FALSE),"")</f>
        <v>Invercopa</v>
      </c>
      <c r="K4030" s="57">
        <f>IFERROR(+VLOOKUP(Ventas[[#This Row],[Codigo de Producto]],Productos[#All],9,FALSE),"")</f>
        <v>451</v>
      </c>
      <c r="M4030" s="57">
        <f t="shared" si="1274"/>
        <v>451</v>
      </c>
      <c r="N4030" s="57">
        <f t="shared" si="1275"/>
        <v>199</v>
      </c>
    </row>
    <row r="4031" spans="1:14" x14ac:dyDescent="0.25">
      <c r="A4031">
        <v>268</v>
      </c>
      <c r="B4031" s="1">
        <v>44159</v>
      </c>
      <c r="C4031" s="57" t="str">
        <f>IF(Ventas[[#This Row],[Fecha ]]="","",+TEXT(B4031,"mmmm"))</f>
        <v>noviembre</v>
      </c>
      <c r="D4031" s="57" t="str">
        <f>IFERROR(+VLOOKUP(Ventas[[#This Row],[Codigo de Producto]],Productos[#All],3,FALSE),"")</f>
        <v>Pantry</v>
      </c>
      <c r="E4031" t="s">
        <v>809</v>
      </c>
      <c r="F4031" s="57" t="str">
        <f>IFERROR(+VLOOKUP(Ventas[[#This Row],[Codigo de Producto]],Productos[#All],4,FALSE),"")</f>
        <v>Centro de Pantry Aqua</v>
      </c>
      <c r="G4031">
        <v>1</v>
      </c>
      <c r="H4031">
        <v>90</v>
      </c>
      <c r="I4031" s="57">
        <f>IF(Ventas[[#This Row],[Cantidad]]="","",+Ventas[[#This Row],[Cantidad]]*Ventas[[#This Row],[Precio]])</f>
        <v>90</v>
      </c>
      <c r="J4031" s="57" t="str">
        <f>IFERROR(+VLOOKUP(Ventas[[#This Row],[Codigo de Producto]],Productos[#All],2,FALSE),"")</f>
        <v>Silco</v>
      </c>
      <c r="K4031" s="57">
        <f ca="1">IFERROR(+VLOOKUP(Ventas[[#This Row],[Codigo de Producto]],Productos[#All],9,FALSE),"")</f>
        <v>0</v>
      </c>
      <c r="M4031" s="57" t="str">
        <f t="shared" ca="1" si="1274"/>
        <v/>
      </c>
      <c r="N4031" s="57" t="str">
        <f t="shared" ca="1" si="1275"/>
        <v/>
      </c>
    </row>
    <row r="4032" spans="1:14" x14ac:dyDescent="0.25">
      <c r="A4032">
        <v>269</v>
      </c>
      <c r="B4032" s="1">
        <v>44159</v>
      </c>
      <c r="C4032" s="57" t="str">
        <f>IF(Ventas[[#This Row],[Fecha ]]="","",+TEXT(B4032,"mmmm"))</f>
        <v>noviembre</v>
      </c>
      <c r="D4032" s="57" t="str">
        <f>IFERROR(+VLOOKUP(Ventas[[#This Row],[Codigo de Producto]],Productos[#All],3,FALSE),"")</f>
        <v>Lavamano</v>
      </c>
      <c r="E4032" t="s">
        <v>829</v>
      </c>
      <c r="F4032" s="57" t="str">
        <f>IFERROR(+VLOOKUP(Ventas[[#This Row],[Codigo de Producto]],Productos[#All],4,FALSE),"")</f>
        <v>Trampa Cespol Fama</v>
      </c>
      <c r="G4032">
        <v>1</v>
      </c>
      <c r="H4032">
        <v>80</v>
      </c>
      <c r="I4032" s="57">
        <f>IF(Ventas[[#This Row],[Cantidad]]="","",+Ventas[[#This Row],[Cantidad]]*Ventas[[#This Row],[Precio]])</f>
        <v>80</v>
      </c>
      <c r="J4032" s="57" t="str">
        <f>IFERROR(+VLOOKUP(Ventas[[#This Row],[Codigo de Producto]],Productos[#All],2,FALSE),"")</f>
        <v>Silco</v>
      </c>
      <c r="K4032" s="57">
        <f ca="1">IFERROR(+VLOOKUP(Ventas[[#This Row],[Codigo de Producto]],Productos[#All],9,FALSE),"")</f>
        <v>0</v>
      </c>
      <c r="M4032" s="57" t="str">
        <f t="shared" ca="1" si="1274"/>
        <v/>
      </c>
      <c r="N4032" s="57" t="str">
        <f t="shared" ca="1" si="1275"/>
        <v/>
      </c>
    </row>
    <row r="4033" spans="1:14" x14ac:dyDescent="0.25">
      <c r="A4033">
        <v>270</v>
      </c>
      <c r="B4033" s="1">
        <v>44159</v>
      </c>
      <c r="C4033" s="57" t="str">
        <f>IF(Ventas[[#This Row],[Fecha ]]="","",+TEXT(B4033,"mmmm"))</f>
        <v>noviembre</v>
      </c>
      <c r="D4033" s="57" t="str">
        <f>IFERROR(+VLOOKUP(Ventas[[#This Row],[Codigo de Producto]],Productos[#All],3,FALSE),"")</f>
        <v>Cerámica</v>
      </c>
      <c r="E4033" t="s">
        <v>679</v>
      </c>
      <c r="F4033" s="57" t="str">
        <f>IFERROR(+VLOOKUP(Ventas[[#This Row],[Codigo de Producto]],Productos[#All],4,FALSE),"")</f>
        <v>Rio Gris Granilla</v>
      </c>
      <c r="G4033">
        <v>2</v>
      </c>
      <c r="H4033">
        <v>250</v>
      </c>
      <c r="I4033" s="57">
        <f>IF(Ventas[[#This Row],[Cantidad]]="","",+Ventas[[#This Row],[Cantidad]]*Ventas[[#This Row],[Precio]])</f>
        <v>500</v>
      </c>
      <c r="J4033" s="57" t="str">
        <f>IFERROR(+VLOOKUP(Ventas[[#This Row],[Codigo de Producto]],Productos[#All],2,FALSE),"")</f>
        <v>Dispiasa</v>
      </c>
      <c r="K4033" s="57">
        <f>IFERROR(+VLOOKUP(Ventas[[#This Row],[Codigo de Producto]],Productos[#All],9,FALSE),"")</f>
        <v>210</v>
      </c>
      <c r="M4033" s="57">
        <f t="shared" si="1274"/>
        <v>420</v>
      </c>
      <c r="N4033" s="57">
        <f t="shared" si="1275"/>
        <v>80</v>
      </c>
    </row>
    <row r="4034" spans="1:14" x14ac:dyDescent="0.25">
      <c r="A4034">
        <v>271</v>
      </c>
      <c r="B4034" s="1">
        <v>44159</v>
      </c>
      <c r="C4034" s="57" t="str">
        <f>IF(Ventas[[#This Row],[Fecha ]]="","",+TEXT(B4034,"mmmm"))</f>
        <v>noviembre</v>
      </c>
      <c r="D4034" s="57" t="str">
        <f>IFERROR(+VLOOKUP(Ventas[[#This Row],[Codigo de Producto]],Productos[#All],3,FALSE),"")</f>
        <v>Cerámica</v>
      </c>
      <c r="E4034" t="s">
        <v>738</v>
      </c>
      <c r="F4034" s="57" t="str">
        <f>IFERROR(+VLOOKUP(Ventas[[#This Row],[Codigo de Producto]],Productos[#All],4,FALSE),"")</f>
        <v>Dubai Beige</v>
      </c>
      <c r="G4034">
        <v>1.5</v>
      </c>
      <c r="H4034">
        <v>300</v>
      </c>
      <c r="I4034" s="57">
        <f>IF(Ventas[[#This Row],[Cantidad]]="","",+Ventas[[#This Row],[Cantidad]]*Ventas[[#This Row],[Precio]])</f>
        <v>450</v>
      </c>
      <c r="J4034" s="57" t="str">
        <f>IFERROR(+VLOOKUP(Ventas[[#This Row],[Codigo de Producto]],Productos[#All],2,FALSE),"")</f>
        <v>Dispiasa</v>
      </c>
      <c r="K4034" s="57">
        <f>IFERROR(+VLOOKUP(Ventas[[#This Row],[Codigo de Producto]],Productos[#All],9,FALSE),"")</f>
        <v>268</v>
      </c>
      <c r="M4034" s="57">
        <f t="shared" si="1274"/>
        <v>402</v>
      </c>
      <c r="N4034" s="57">
        <f t="shared" si="1275"/>
        <v>48</v>
      </c>
    </row>
    <row r="4035" spans="1:14" x14ac:dyDescent="0.25">
      <c r="A4035">
        <v>272</v>
      </c>
      <c r="B4035" s="1">
        <v>44159</v>
      </c>
      <c r="C4035" s="57" t="str">
        <f>IF(Ventas[[#This Row],[Fecha ]]="","",+TEXT(B4035,"mmmm"))</f>
        <v>noviembre</v>
      </c>
      <c r="D4035" s="57" t="str">
        <f>IFERROR(+VLOOKUP(Ventas[[#This Row],[Codigo de Producto]],Productos[#All],3,FALSE),"")</f>
        <v>Plasterbond</v>
      </c>
      <c r="E4035" t="s">
        <v>713</v>
      </c>
      <c r="F4035" s="57" t="str">
        <f>IFERROR(+VLOOKUP(Ventas[[#This Row],[Codigo de Producto]],Productos[#All],4,FALSE),"")</f>
        <v>Plasterbond Klebe</v>
      </c>
      <c r="G4035">
        <v>0.5</v>
      </c>
      <c r="H4035">
        <v>100</v>
      </c>
      <c r="I4035" s="57">
        <f>IF(Ventas[[#This Row],[Cantidad]]="","",+Ventas[[#This Row],[Cantidad]]*Ventas[[#This Row],[Precio]])</f>
        <v>50</v>
      </c>
      <c r="J4035" s="57" t="str">
        <f>IFERROR(+VLOOKUP(Ventas[[#This Row],[Codigo de Producto]],Productos[#All],2,FALSE),"")</f>
        <v>Aginsa</v>
      </c>
      <c r="K4035" s="57">
        <f>IFERROR(+VLOOKUP(Ventas[[#This Row],[Codigo de Producto]],Productos[#All],9,FALSE),"")</f>
        <v>80</v>
      </c>
      <c r="M4035" s="57">
        <f t="shared" si="1274"/>
        <v>40</v>
      </c>
      <c r="N4035" s="57">
        <f t="shared" si="1275"/>
        <v>10</v>
      </c>
    </row>
    <row r="4036" spans="1:14" x14ac:dyDescent="0.25">
      <c r="A4036">
        <v>273</v>
      </c>
      <c r="B4036" s="1">
        <v>44159</v>
      </c>
      <c r="C4036" s="57" t="str">
        <f>IF(Ventas[[#This Row],[Fecha ]]="","",+TEXT(B4036,"mmmm"))</f>
        <v>noviembre</v>
      </c>
      <c r="D4036" s="57" t="str">
        <f>IFERROR(+VLOOKUP(Ventas[[#This Row],[Codigo de Producto]],Productos[#All],3,FALSE),"")</f>
        <v>Porcelana</v>
      </c>
      <c r="E4036" t="s">
        <v>708</v>
      </c>
      <c r="F4036" s="57" t="str">
        <f>IFERROR(+VLOOKUP(Ventas[[#This Row],[Codigo de Producto]],Productos[#All],4,FALSE),"")</f>
        <v xml:space="preserve">Porcelana Maya </v>
      </c>
      <c r="G4036">
        <v>1</v>
      </c>
      <c r="H4036">
        <v>60</v>
      </c>
      <c r="I4036" s="57">
        <f>IF(Ventas[[#This Row],[Cantidad]]="","",+Ventas[[#This Row],[Cantidad]]*Ventas[[#This Row],[Precio]])</f>
        <v>60</v>
      </c>
      <c r="J4036" s="57" t="str">
        <f>IFERROR(+VLOOKUP(Ventas[[#This Row],[Codigo de Producto]],Productos[#All],2,FALSE),"")</f>
        <v>Martinez</v>
      </c>
      <c r="K4036" s="57">
        <f>IFERROR(+VLOOKUP(Ventas[[#This Row],[Codigo de Producto]],Productos[#All],9,FALSE),"")</f>
        <v>33.333333333333336</v>
      </c>
      <c r="M4036" s="57">
        <f t="shared" si="1274"/>
        <v>33.333333333333336</v>
      </c>
      <c r="N4036" s="57">
        <f t="shared" si="1275"/>
        <v>26.666666666666664</v>
      </c>
    </row>
    <row r="4037" spans="1:14" x14ac:dyDescent="0.25">
      <c r="A4037">
        <v>274</v>
      </c>
      <c r="B4037" s="1">
        <v>44159</v>
      </c>
      <c r="C4037" s="57" t="str">
        <f>IF(Ventas[[#This Row],[Fecha ]]="","",+TEXT(B4037,"mmmm"))</f>
        <v>noviembre</v>
      </c>
      <c r="D4037" s="57" t="str">
        <f>IFERROR(+VLOOKUP(Ventas[[#This Row],[Codigo de Producto]],Productos[#All],3,FALSE),"")</f>
        <v>Cerámica</v>
      </c>
      <c r="E4037" t="s">
        <v>691</v>
      </c>
      <c r="F4037" s="57" t="str">
        <f>IFERROR(+VLOOKUP(Ventas[[#This Row],[Codigo de Producto]],Productos[#All],4,FALSE),"")</f>
        <v>Madera Dinizia Oscuro</v>
      </c>
      <c r="G4037">
        <v>10</v>
      </c>
      <c r="H4037">
        <v>240</v>
      </c>
      <c r="I4037" s="57">
        <f>IF(Ventas[[#This Row],[Cantidad]]="","",+Ventas[[#This Row],[Cantidad]]*Ventas[[#This Row],[Precio]])</f>
        <v>2400</v>
      </c>
      <c r="J4037" s="57" t="str">
        <f>IFERROR(+VLOOKUP(Ventas[[#This Row],[Codigo de Producto]],Productos[#All],2,FALSE),"")</f>
        <v>Comasa</v>
      </c>
      <c r="K4037" s="57">
        <f>IFERROR(+VLOOKUP(Ventas[[#This Row],[Codigo de Producto]],Productos[#All],9,FALSE),"")</f>
        <v>212</v>
      </c>
      <c r="M4037" s="57">
        <f t="shared" si="1274"/>
        <v>2120</v>
      </c>
      <c r="N4037" s="57">
        <f t="shared" si="1275"/>
        <v>280</v>
      </c>
    </row>
    <row r="4038" spans="1:14" x14ac:dyDescent="0.25">
      <c r="A4038">
        <v>275</v>
      </c>
      <c r="B4038" s="1">
        <v>44159</v>
      </c>
      <c r="C4038" s="57" t="str">
        <f>IF(Ventas[[#This Row],[Fecha ]]="","",+TEXT(B4038,"mmmm"))</f>
        <v>noviembre</v>
      </c>
      <c r="D4038" s="57" t="str">
        <f>IFERROR(+VLOOKUP(Ventas[[#This Row],[Codigo de Producto]],Productos[#All],3,FALSE),"")</f>
        <v>Cerámica</v>
      </c>
      <c r="E4038" t="s">
        <v>703</v>
      </c>
      <c r="F4038" s="57" t="str">
        <f>IFERROR(+VLOOKUP(Ventas[[#This Row],[Codigo de Producto]],Productos[#All],4,FALSE),"")</f>
        <v>Nogal Oscuro</v>
      </c>
      <c r="G4038">
        <v>3</v>
      </c>
      <c r="H4038">
        <v>300</v>
      </c>
      <c r="I4038" s="57">
        <f>IF(Ventas[[#This Row],[Cantidad]]="","",+Ventas[[#This Row],[Cantidad]]*Ventas[[#This Row],[Precio]])</f>
        <v>900</v>
      </c>
      <c r="J4038" s="57" t="str">
        <f>IFERROR(+VLOOKUP(Ventas[[#This Row],[Codigo de Producto]],Productos[#All],2,FALSE),"")</f>
        <v>Dispiasa</v>
      </c>
      <c r="K4038" s="57">
        <f>IFERROR(+VLOOKUP(Ventas[[#This Row],[Codigo de Producto]],Productos[#All],9,FALSE),"")</f>
        <v>268</v>
      </c>
      <c r="M4038" s="57">
        <f t="shared" si="1274"/>
        <v>804</v>
      </c>
      <c r="N4038" s="57">
        <f t="shared" si="1275"/>
        <v>96</v>
      </c>
    </row>
    <row r="4039" spans="1:14" x14ac:dyDescent="0.25">
      <c r="A4039">
        <v>276</v>
      </c>
      <c r="B4039" s="1">
        <v>44159</v>
      </c>
      <c r="C4039" s="57" t="str">
        <f>IF(Ventas[[#This Row],[Fecha ]]="","",+TEXT(B4039,"mmmm"))</f>
        <v>noviembre</v>
      </c>
      <c r="D4039" s="57" t="str">
        <f>IFERROR(+VLOOKUP(Ventas[[#This Row],[Codigo de Producto]],Productos[#All],3,FALSE),"")</f>
        <v>Inodoro</v>
      </c>
      <c r="E4039" t="s">
        <v>682</v>
      </c>
      <c r="F4039" s="57" t="str">
        <f>IFERROR(+VLOOKUP(Ventas[[#This Row],[Codigo de Producto]],Productos[#All],4,FALSE),"")</f>
        <v>Inodoro Ecoline Candle Ligth</v>
      </c>
      <c r="G4039">
        <v>1</v>
      </c>
      <c r="H4039">
        <v>1850</v>
      </c>
      <c r="I4039" s="57">
        <f>IF(Ventas[[#This Row],[Cantidad]]="","",+Ventas[[#This Row],[Cantidad]]*Ventas[[#This Row],[Precio]])</f>
        <v>1850</v>
      </c>
      <c r="J4039" s="57" t="str">
        <f>IFERROR(+VLOOKUP(Ventas[[#This Row],[Codigo de Producto]],Productos[#All],2,FALSE),"")</f>
        <v>Dispiasa</v>
      </c>
      <c r="K4039" s="57">
        <f>IFERROR(+VLOOKUP(Ventas[[#This Row],[Codigo de Producto]],Productos[#All],9,FALSE),"")</f>
        <v>1630</v>
      </c>
      <c r="M4039" s="57">
        <f t="shared" si="1274"/>
        <v>1630</v>
      </c>
      <c r="N4039" s="57">
        <f t="shared" si="1275"/>
        <v>220</v>
      </c>
    </row>
    <row r="4040" spans="1:14" x14ac:dyDescent="0.25">
      <c r="A4040">
        <v>277</v>
      </c>
      <c r="B4040" s="1">
        <v>44159</v>
      </c>
      <c r="C4040" s="57" t="str">
        <f>IF(Ventas[[#This Row],[Fecha ]]="","",+TEXT(B4040,"mmmm"))</f>
        <v>noviembre</v>
      </c>
      <c r="D4040" s="57" t="str">
        <f>IFERROR(+VLOOKUP(Ventas[[#This Row],[Codigo de Producto]],Productos[#All],3,FALSE),"")</f>
        <v>Baño</v>
      </c>
      <c r="E4040" t="s">
        <v>827</v>
      </c>
      <c r="F4040" s="57" t="str">
        <f>IFERROR(+VLOOKUP(Ventas[[#This Row],[Codigo de Producto]],Productos[#All],4,FALSE),"")</f>
        <v>Cortina Colibrí</v>
      </c>
      <c r="G4040">
        <v>1</v>
      </c>
      <c r="H4040">
        <v>150</v>
      </c>
      <c r="I4040" s="57">
        <f>IF(Ventas[[#This Row],[Cantidad]]="","",+Ventas[[#This Row],[Cantidad]]*Ventas[[#This Row],[Precio]])</f>
        <v>150</v>
      </c>
      <c r="J4040" s="57" t="str">
        <f>IFERROR(+VLOOKUP(Ventas[[#This Row],[Codigo de Producto]],Productos[#All],2,FALSE),"")</f>
        <v>Invercopa</v>
      </c>
      <c r="K4040" s="57">
        <f>IFERROR(+VLOOKUP(Ventas[[#This Row],[Codigo de Producto]],Productos[#All],9,FALSE),"")</f>
        <v>94</v>
      </c>
      <c r="M4040" s="57">
        <f t="shared" si="1274"/>
        <v>94</v>
      </c>
      <c r="N4040" s="57">
        <f t="shared" si="1275"/>
        <v>56</v>
      </c>
    </row>
    <row r="4041" spans="1:14" x14ac:dyDescent="0.25">
      <c r="A4041">
        <v>278</v>
      </c>
      <c r="B4041" s="1">
        <v>44159</v>
      </c>
      <c r="C4041" s="57" t="str">
        <f>IF(Ventas[[#This Row],[Fecha ]]="","",+TEXT(B4041,"mmmm"))</f>
        <v>noviembre</v>
      </c>
      <c r="D4041" s="57" t="str">
        <f>IFERROR(+VLOOKUP(Ventas[[#This Row],[Codigo de Producto]],Productos[#All],3,FALSE),"")</f>
        <v>Baño</v>
      </c>
      <c r="E4041" t="s">
        <v>828</v>
      </c>
      <c r="F4041" s="57" t="str">
        <f>IFERROR(+VLOOKUP(Ventas[[#This Row],[Codigo de Producto]],Productos[#All],4,FALSE),"")</f>
        <v>Tubo de cortina Peq</v>
      </c>
      <c r="G4041">
        <v>1</v>
      </c>
      <c r="H4041">
        <v>140</v>
      </c>
      <c r="I4041" s="57">
        <f>IF(Ventas[[#This Row],[Cantidad]]="","",+Ventas[[#This Row],[Cantidad]]*Ventas[[#This Row],[Precio]])</f>
        <v>140</v>
      </c>
      <c r="J4041" s="57" t="str">
        <f>IFERROR(+VLOOKUP(Ventas[[#This Row],[Codigo de Producto]],Productos[#All],2,FALSE),"")</f>
        <v>Boniche</v>
      </c>
      <c r="K4041" s="57">
        <f ca="1">IFERROR(+VLOOKUP(Ventas[[#This Row],[Codigo de Producto]],Productos[#All],9,FALSE),"")</f>
        <v>0</v>
      </c>
      <c r="M4041" s="57" t="str">
        <f t="shared" ca="1" si="1274"/>
        <v/>
      </c>
      <c r="N4041" s="57" t="str">
        <f t="shared" ca="1" si="1275"/>
        <v/>
      </c>
    </row>
    <row r="4042" spans="1:14" x14ac:dyDescent="0.25">
      <c r="A4042">
        <v>279</v>
      </c>
      <c r="B4042" s="1">
        <v>44159</v>
      </c>
      <c r="C4042" s="57" t="str">
        <f>IF(Ventas[[#This Row],[Fecha ]]="","",+TEXT(B4042,"mmmm"))</f>
        <v>noviembre</v>
      </c>
      <c r="D4042" s="57" t="str">
        <f>IFERROR(+VLOOKUP(Ventas[[#This Row],[Codigo de Producto]],Productos[#All],3,FALSE),"")</f>
        <v>Cerámica</v>
      </c>
      <c r="E4042" t="s">
        <v>691</v>
      </c>
      <c r="F4042" s="57" t="str">
        <f>IFERROR(+VLOOKUP(Ventas[[#This Row],[Codigo de Producto]],Productos[#All],4,FALSE),"")</f>
        <v>Madera Dinizia Oscuro</v>
      </c>
      <c r="G4042">
        <v>52</v>
      </c>
      <c r="H4042">
        <v>225</v>
      </c>
      <c r="I4042" s="57">
        <f>IF(Ventas[[#This Row],[Cantidad]]="","",+Ventas[[#This Row],[Cantidad]]*Ventas[[#This Row],[Precio]])</f>
        <v>11700</v>
      </c>
      <c r="J4042" s="57" t="str">
        <f>IFERROR(+VLOOKUP(Ventas[[#This Row],[Codigo de Producto]],Productos[#All],2,FALSE),"")</f>
        <v>Comasa</v>
      </c>
      <c r="K4042" s="57">
        <f>IFERROR(+VLOOKUP(Ventas[[#This Row],[Codigo de Producto]],Productos[#All],9,FALSE),"")</f>
        <v>212</v>
      </c>
      <c r="M4042" s="57">
        <f t="shared" si="1274"/>
        <v>11024</v>
      </c>
      <c r="N4042" s="57">
        <f t="shared" si="1275"/>
        <v>676</v>
      </c>
    </row>
    <row r="4043" spans="1:14" x14ac:dyDescent="0.25">
      <c r="A4043">
        <v>280</v>
      </c>
      <c r="B4043" s="1">
        <v>44159</v>
      </c>
      <c r="C4043" s="57" t="str">
        <f>IF(Ventas[[#This Row],[Fecha ]]="","",+TEXT(B4043,"mmmm"))</f>
        <v>noviembre</v>
      </c>
      <c r="D4043" s="57" t="str">
        <f>IFERROR(+VLOOKUP(Ventas[[#This Row],[Codigo de Producto]],Productos[#All],3,FALSE),"")</f>
        <v>Cerámica</v>
      </c>
      <c r="E4043" t="s">
        <v>680</v>
      </c>
      <c r="F4043" s="57" t="str">
        <f>IFERROR(+VLOOKUP(Ventas[[#This Row],[Codigo de Producto]],Productos[#All],4,FALSE),"")</f>
        <v>Sunset Beige</v>
      </c>
      <c r="G4043">
        <v>1.53</v>
      </c>
      <c r="H4043">
        <v>280</v>
      </c>
      <c r="I4043" s="57">
        <f>IF(Ventas[[#This Row],[Cantidad]]="","",+Ventas[[#This Row],[Cantidad]]*Ventas[[#This Row],[Precio]])</f>
        <v>428.40000000000003</v>
      </c>
      <c r="J4043" s="57" t="str">
        <f>IFERROR(+VLOOKUP(Ventas[[#This Row],[Codigo de Producto]],Productos[#All],2,FALSE),"")</f>
        <v>Comasa</v>
      </c>
      <c r="K4043" s="57">
        <f>IFERROR(+VLOOKUP(Ventas[[#This Row],[Codigo de Producto]],Productos[#All],9,FALSE),"")</f>
        <v>248</v>
      </c>
      <c r="M4043" s="57">
        <f t="shared" si="1274"/>
        <v>379.44</v>
      </c>
      <c r="N4043" s="57">
        <f t="shared" si="1275"/>
        <v>48.960000000000036</v>
      </c>
    </row>
    <row r="4044" spans="1:14" x14ac:dyDescent="0.25">
      <c r="A4044">
        <v>281</v>
      </c>
      <c r="B4044" s="1">
        <v>44159</v>
      </c>
      <c r="C4044" s="57" t="str">
        <f>IF(Ventas[[#This Row],[Fecha ]]="","",+TEXT(B4044,"mmmm"))</f>
        <v>noviembre</v>
      </c>
      <c r="D4044" s="57" t="str">
        <f>IFERROR(+VLOOKUP(Ventas[[#This Row],[Codigo de Producto]],Productos[#All],3,FALSE),"")</f>
        <v>Inodoro</v>
      </c>
      <c r="E4044" t="s">
        <v>681</v>
      </c>
      <c r="F4044" s="57" t="str">
        <f>IFERROR(+VLOOKUP(Ventas[[#This Row],[Codigo de Producto]],Productos[#All],4,FALSE),"")</f>
        <v>Inodoro Ecoline Bone</v>
      </c>
      <c r="G4044">
        <v>1</v>
      </c>
      <c r="H4044">
        <v>1850</v>
      </c>
      <c r="I4044" s="57">
        <f>IF(Ventas[[#This Row],[Cantidad]]="","",+Ventas[[#This Row],[Cantidad]]*Ventas[[#This Row],[Precio]])</f>
        <v>1850</v>
      </c>
      <c r="J4044" s="57" t="str">
        <f>IFERROR(+VLOOKUP(Ventas[[#This Row],[Codigo de Producto]],Productos[#All],2,FALSE),"")</f>
        <v>Dispiasa</v>
      </c>
      <c r="K4044" s="57">
        <f>IFERROR(+VLOOKUP(Ventas[[#This Row],[Codigo de Producto]],Productos[#All],9,FALSE),"")</f>
        <v>1630</v>
      </c>
      <c r="M4044" s="57">
        <f t="shared" si="1274"/>
        <v>1630</v>
      </c>
      <c r="N4044" s="57">
        <f t="shared" si="1275"/>
        <v>220</v>
      </c>
    </row>
    <row r="4045" spans="1:14" x14ac:dyDescent="0.25">
      <c r="A4045">
        <v>282</v>
      </c>
      <c r="B4045" s="1">
        <v>44159</v>
      </c>
      <c r="C4045" s="57" t="str">
        <f>IF(Ventas[[#This Row],[Fecha ]]="","",+TEXT(B4045,"mmmm"))</f>
        <v>noviembre</v>
      </c>
      <c r="D4045" s="57" t="str">
        <f>IFERROR(+VLOOKUP(Ventas[[#This Row],[Codigo de Producto]],Productos[#All],3,FALSE),"")</f>
        <v>Porcelanato</v>
      </c>
      <c r="E4045" t="s">
        <v>694</v>
      </c>
      <c r="F4045" s="57" t="str">
        <f>IFERROR(+VLOOKUP(Ventas[[#This Row],[Codigo de Producto]],Productos[#All],4,FALSE),"")</f>
        <v>Beige Marfil</v>
      </c>
      <c r="G4045">
        <v>7</v>
      </c>
      <c r="H4045">
        <v>380</v>
      </c>
      <c r="I4045" s="57">
        <f>IF(Ventas[[#This Row],[Cantidad]]="","",+Ventas[[#This Row],[Cantidad]]*Ventas[[#This Row],[Precio]])</f>
        <v>2660</v>
      </c>
      <c r="J4045" s="57" t="str">
        <f>IFERROR(+VLOOKUP(Ventas[[#This Row],[Codigo de Producto]],Productos[#All],2,FALSE),"")</f>
        <v>Halcón</v>
      </c>
      <c r="K4045" s="57">
        <f>IFERROR(+VLOOKUP(Ventas[[#This Row],[Codigo de Producto]],Productos[#All],9,FALSE),"")</f>
        <v>340</v>
      </c>
      <c r="M4045" s="57">
        <f t="shared" si="1274"/>
        <v>2380</v>
      </c>
      <c r="N4045" s="57">
        <f t="shared" si="1275"/>
        <v>280</v>
      </c>
    </row>
    <row r="4046" spans="1:14" x14ac:dyDescent="0.25">
      <c r="A4046">
        <v>283</v>
      </c>
      <c r="B4046" s="1">
        <v>44160</v>
      </c>
      <c r="C4046" s="57" t="str">
        <f>IF(Ventas[[#This Row],[Fecha ]]="","",+TEXT(B4046,"mmmm"))</f>
        <v>noviembre</v>
      </c>
      <c r="D4046" s="57" t="str">
        <f>IFERROR(+VLOOKUP(Ventas[[#This Row],[Codigo de Producto]],Productos[#All],3,FALSE),"")</f>
        <v>Baño</v>
      </c>
      <c r="E4046" t="s">
        <v>867</v>
      </c>
      <c r="F4046" s="57" t="str">
        <f>IFERROR(+VLOOKUP(Ventas[[#This Row],[Codigo de Producto]],Productos[#All],4,FALSE),"")</f>
        <v>Llave de Ducha</v>
      </c>
      <c r="G4046">
        <v>2</v>
      </c>
      <c r="H4046">
        <v>280</v>
      </c>
      <c r="I4046" s="57">
        <f>IF(Ventas[[#This Row],[Cantidad]]="","",+Ventas[[#This Row],[Cantidad]]*Ventas[[#This Row],[Precio]])</f>
        <v>560</v>
      </c>
      <c r="J4046" s="57" t="str">
        <f>IFERROR(+VLOOKUP(Ventas[[#This Row],[Codigo de Producto]],Productos[#All],2,FALSE),"")</f>
        <v>Invercopa</v>
      </c>
      <c r="K4046" s="57">
        <f>IFERROR(+VLOOKUP(Ventas[[#This Row],[Codigo de Producto]],Productos[#All],9,FALSE),"")</f>
        <v>190</v>
      </c>
      <c r="M4046" s="57">
        <f t="shared" ref="M4046:M4047" si="1276">+IF(K4046=0,(""),(K4046*G4046))</f>
        <v>380</v>
      </c>
      <c r="N4046" s="57">
        <f t="shared" si="1275"/>
        <v>180</v>
      </c>
    </row>
    <row r="4047" spans="1:14" x14ac:dyDescent="0.25">
      <c r="A4047">
        <v>284</v>
      </c>
      <c r="B4047" s="1">
        <v>44160</v>
      </c>
      <c r="C4047" s="57" t="str">
        <f>IF(Ventas[[#This Row],[Fecha ]]="","",+TEXT(B4047,"mmmm"))</f>
        <v>noviembre</v>
      </c>
      <c r="D4047" s="57" t="str">
        <f>IFERROR(+VLOOKUP(Ventas[[#This Row],[Codigo de Producto]],Productos[#All],3,FALSE),"")</f>
        <v>Porcelana</v>
      </c>
      <c r="E4047" t="s">
        <v>708</v>
      </c>
      <c r="F4047" s="57" t="str">
        <f>IFERROR(+VLOOKUP(Ventas[[#This Row],[Codigo de Producto]],Productos[#All],4,FALSE),"")</f>
        <v xml:space="preserve">Porcelana Maya </v>
      </c>
      <c r="G4047">
        <v>2</v>
      </c>
      <c r="H4047">
        <v>60</v>
      </c>
      <c r="I4047" s="57">
        <f>IF(Ventas[[#This Row],[Cantidad]]="","",+Ventas[[#This Row],[Cantidad]]*Ventas[[#This Row],[Precio]])</f>
        <v>120</v>
      </c>
      <c r="J4047" s="57" t="str">
        <f>IFERROR(+VLOOKUP(Ventas[[#This Row],[Codigo de Producto]],Productos[#All],2,FALSE),"")</f>
        <v>Martinez</v>
      </c>
      <c r="K4047" s="57">
        <f>IFERROR(+VLOOKUP(Ventas[[#This Row],[Codigo de Producto]],Productos[#All],9,FALSE),"")</f>
        <v>33.333333333333336</v>
      </c>
      <c r="M4047" s="57">
        <f t="shared" si="1276"/>
        <v>66.666666666666671</v>
      </c>
      <c r="N4047" s="57">
        <f t="shared" si="1275"/>
        <v>53.333333333333329</v>
      </c>
    </row>
    <row r="4048" spans="1:14" x14ac:dyDescent="0.25">
      <c r="A4048">
        <v>285</v>
      </c>
      <c r="B4048" s="1">
        <v>44160</v>
      </c>
      <c r="C4048" s="57" t="str">
        <f>IF(Ventas[[#This Row],[Fecha ]]="","",+TEXT(B4048,"mmmm"))</f>
        <v>noviembre</v>
      </c>
      <c r="D4048" s="57" t="str">
        <f>IFERROR(+VLOOKUP(Ventas[[#This Row],[Codigo de Producto]],Productos[#All],3,FALSE),"")</f>
        <v>Cerámica</v>
      </c>
      <c r="E4048" t="s">
        <v>691</v>
      </c>
      <c r="F4048" s="57" t="str">
        <f>IFERROR(+VLOOKUP(Ventas[[#This Row],[Codigo de Producto]],Productos[#All],4,FALSE),"")</f>
        <v>Madera Dinizia Oscuro</v>
      </c>
      <c r="G4048">
        <v>40</v>
      </c>
      <c r="H4048">
        <v>240</v>
      </c>
      <c r="I4048" s="57">
        <f>IF(Ventas[[#This Row],[Cantidad]]="","",+Ventas[[#This Row],[Cantidad]]*Ventas[[#This Row],[Precio]])</f>
        <v>9600</v>
      </c>
      <c r="J4048" s="57" t="str">
        <f>IFERROR(+VLOOKUP(Ventas[[#This Row],[Codigo de Producto]],Productos[#All],2,FALSE),"")</f>
        <v>Comasa</v>
      </c>
      <c r="K4048" s="57">
        <f>IFERROR(+VLOOKUP(Ventas[[#This Row],[Codigo de Producto]],Productos[#All],9,FALSE),"")</f>
        <v>212</v>
      </c>
      <c r="M4048" s="57">
        <f>+IF(K4048=0,(""),(K4048*G4048))</f>
        <v>8480</v>
      </c>
      <c r="N4048" s="57">
        <f t="shared" si="1275"/>
        <v>1120</v>
      </c>
    </row>
    <row r="4049" spans="1:14" x14ac:dyDescent="0.25">
      <c r="A4049">
        <v>286</v>
      </c>
      <c r="B4049" s="1">
        <v>44160</v>
      </c>
      <c r="C4049" s="57" t="str">
        <f>IF(Ventas[[#This Row],[Fecha ]]="","",+TEXT(B4049,"mmmm"))</f>
        <v>noviembre</v>
      </c>
      <c r="D4049" s="57" t="str">
        <f>IFERROR(+VLOOKUP(Ventas[[#This Row],[Codigo de Producto]],Productos[#All],3,FALSE),"")</f>
        <v>Porcelana</v>
      </c>
      <c r="E4049" t="s">
        <v>708</v>
      </c>
      <c r="F4049" s="57" t="str">
        <f>IFERROR(+VLOOKUP(Ventas[[#This Row],[Codigo de Producto]],Productos[#All],4,FALSE),"")</f>
        <v xml:space="preserve">Porcelana Maya </v>
      </c>
      <c r="G4049">
        <v>10</v>
      </c>
      <c r="H4049">
        <v>60</v>
      </c>
      <c r="I4049" s="57">
        <f>IF(Ventas[[#This Row],[Cantidad]]="","",+Ventas[[#This Row],[Cantidad]]*Ventas[[#This Row],[Precio]])</f>
        <v>600</v>
      </c>
      <c r="J4049" s="57" t="str">
        <f>IFERROR(+VLOOKUP(Ventas[[#This Row],[Codigo de Producto]],Productos[#All],2,FALSE),"")</f>
        <v>Martinez</v>
      </c>
      <c r="K4049" s="57">
        <f>IFERROR(+VLOOKUP(Ventas[[#This Row],[Codigo de Producto]],Productos[#All],9,FALSE),"")</f>
        <v>33.333333333333336</v>
      </c>
      <c r="M4049" s="57">
        <f>+IF(K4049=0,(""),(K4049*G4049))</f>
        <v>333.33333333333337</v>
      </c>
      <c r="N4049" s="57">
        <f t="shared" si="1275"/>
        <v>266.66666666666663</v>
      </c>
    </row>
    <row r="4050" spans="1:14" x14ac:dyDescent="0.25">
      <c r="A4050">
        <v>287</v>
      </c>
      <c r="B4050" s="1">
        <v>44160</v>
      </c>
      <c r="C4050" s="57" t="str">
        <f>IF(Ventas[[#This Row],[Fecha ]]="","",+TEXT(B4050,"mmmm"))</f>
        <v>noviembre</v>
      </c>
      <c r="D4050" s="57" t="str">
        <f>IFERROR(+VLOOKUP(Ventas[[#This Row],[Codigo de Producto]],Productos[#All],3,FALSE),"")</f>
        <v>Bond</v>
      </c>
      <c r="E4050" t="s">
        <v>704</v>
      </c>
      <c r="F4050" s="57" t="str">
        <f>IFERROR(+VLOOKUP(Ventas[[#This Row],[Codigo de Producto]],Productos[#All],4,FALSE),"")</f>
        <v>Drytec Bond Plus</v>
      </c>
      <c r="G4050">
        <v>34</v>
      </c>
      <c r="H4050">
        <v>155</v>
      </c>
      <c r="I4050" s="57">
        <f>IF(Ventas[[#This Row],[Cantidad]]="","",+Ventas[[#This Row],[Cantidad]]*Ventas[[#This Row],[Precio]])</f>
        <v>5270</v>
      </c>
      <c r="J4050" s="57" t="str">
        <f>IFERROR(+VLOOKUP(Ventas[[#This Row],[Codigo de Producto]],Productos[#All],2,FALSE),"")</f>
        <v>Comasa</v>
      </c>
      <c r="K4050" s="57">
        <v>135</v>
      </c>
      <c r="M4050" s="57">
        <f>+IF(K4050=0,(""),(K4050*G4050))</f>
        <v>4590</v>
      </c>
      <c r="N4050" s="57">
        <f t="shared" si="1275"/>
        <v>680</v>
      </c>
    </row>
    <row r="4051" spans="1:14" x14ac:dyDescent="0.25">
      <c r="A4051">
        <v>288</v>
      </c>
      <c r="B4051" s="1">
        <v>44160</v>
      </c>
      <c r="C4051" s="57" t="str">
        <f>IF(Ventas[[#This Row],[Fecha ]]="","",+TEXT(B4051,"mmmm"))</f>
        <v>noviembre</v>
      </c>
      <c r="D4051" s="57" t="str">
        <f>IFERROR(+VLOOKUP(Ventas[[#This Row],[Codigo de Producto]],Productos[#All],3,FALSE),"")</f>
        <v>Porcelana</v>
      </c>
      <c r="E4051" t="s">
        <v>708</v>
      </c>
      <c r="F4051" s="57" t="str">
        <f>IFERROR(+VLOOKUP(Ventas[[#This Row],[Codigo de Producto]],Productos[#All],4,FALSE),"")</f>
        <v xml:space="preserve">Porcelana Maya </v>
      </c>
      <c r="G4051">
        <v>10</v>
      </c>
      <c r="H4051">
        <v>60</v>
      </c>
      <c r="I4051" s="57">
        <f>IF(Ventas[[#This Row],[Cantidad]]="","",+Ventas[[#This Row],[Cantidad]]*Ventas[[#This Row],[Precio]])</f>
        <v>600</v>
      </c>
      <c r="J4051" s="57" t="str">
        <f>IFERROR(+VLOOKUP(Ventas[[#This Row],[Codigo de Producto]],Productos[#All],2,FALSE),"")</f>
        <v>Martinez</v>
      </c>
      <c r="K4051" s="57">
        <f>IFERROR(+VLOOKUP(Ventas[[#This Row],[Codigo de Producto]],Productos[#All],9,FALSE),"")</f>
        <v>33.333333333333336</v>
      </c>
      <c r="M4051" s="57">
        <f>+IF(K4051=0,(""),(K4051*G4051))</f>
        <v>333.33333333333337</v>
      </c>
      <c r="N4051" s="57">
        <f t="shared" si="1275"/>
        <v>266.66666666666663</v>
      </c>
    </row>
    <row r="4052" spans="1:14" x14ac:dyDescent="0.25">
      <c r="A4052">
        <v>289</v>
      </c>
      <c r="B4052" s="1">
        <v>44160</v>
      </c>
      <c r="C4052" s="57" t="str">
        <f>IF(Ventas[[#This Row],[Fecha ]]="","",+TEXT(B4052,"mmmm"))</f>
        <v>noviembre</v>
      </c>
      <c r="D4052" s="57" t="str">
        <f>IFERROR(+VLOOKUP(Ventas[[#This Row],[Codigo de Producto]],Productos[#All],3,FALSE),"")</f>
        <v>Bond</v>
      </c>
      <c r="E4052" t="s">
        <v>704</v>
      </c>
      <c r="F4052" s="57" t="str">
        <f>IFERROR(+VLOOKUP(Ventas[[#This Row],[Codigo de Producto]],Productos[#All],4,FALSE),"")</f>
        <v>Drytec Bond Plus</v>
      </c>
      <c r="G4052">
        <v>7</v>
      </c>
      <c r="H4052">
        <v>150</v>
      </c>
      <c r="I4052" s="57">
        <f>IF(Ventas[[#This Row],[Cantidad]]="","",+Ventas[[#This Row],[Cantidad]]*Ventas[[#This Row],[Precio]])</f>
        <v>1050</v>
      </c>
      <c r="J4052" s="57" t="str">
        <f>IFERROR(+VLOOKUP(Ventas[[#This Row],[Codigo de Producto]],Productos[#All],2,FALSE),"")</f>
        <v>Comasa</v>
      </c>
      <c r="K4052" s="57">
        <f>IFERROR(+VLOOKUP(Ventas[[#This Row],[Codigo de Producto]],Productos[#All],9,FALSE),"")</f>
        <v>127</v>
      </c>
      <c r="M4052" s="57">
        <f>+IF(K4052=0,(""),(K4052*G4052))</f>
        <v>889</v>
      </c>
      <c r="N4052" s="57">
        <f t="shared" si="1275"/>
        <v>161</v>
      </c>
    </row>
    <row r="4053" spans="1:14" x14ac:dyDescent="0.25">
      <c r="A4053">
        <v>290</v>
      </c>
      <c r="B4053" s="1">
        <v>44160</v>
      </c>
      <c r="C4053" s="57" t="str">
        <f>IF(Ventas[[#This Row],[Fecha ]]="","",+TEXT(B4053,"mmmm"))</f>
        <v>noviembre</v>
      </c>
      <c r="D4053" s="57" t="str">
        <f>IFERROR(+VLOOKUP(Ventas[[#This Row],[Codigo de Producto]],Productos[#All],3,FALSE),"")</f>
        <v>Cerámica</v>
      </c>
      <c r="E4053" t="s">
        <v>691</v>
      </c>
      <c r="F4053" s="57" t="str">
        <f>IFERROR(+VLOOKUP(Ventas[[#This Row],[Codigo de Producto]],Productos[#All],4,FALSE),"")</f>
        <v>Madera Dinizia Oscuro</v>
      </c>
      <c r="G4053">
        <f>5/9</f>
        <v>0.55555555555555558</v>
      </c>
      <c r="H4053">
        <v>240</v>
      </c>
      <c r="I4053" s="57">
        <f>IF(Ventas[[#This Row],[Cantidad]]="","",+Ventas[[#This Row],[Cantidad]]*Ventas[[#This Row],[Precio]])</f>
        <v>133.33333333333334</v>
      </c>
      <c r="J4053" s="57" t="str">
        <f>IFERROR(+VLOOKUP(Ventas[[#This Row],[Codigo de Producto]],Productos[#All],2,FALSE),"")</f>
        <v>Comasa</v>
      </c>
      <c r="K4053" s="57">
        <f>IFERROR(+VLOOKUP(Ventas[[#This Row],[Codigo de Producto]],Productos[#All],9,FALSE),"")</f>
        <v>212</v>
      </c>
      <c r="M4053" s="57">
        <f t="shared" ref="M4053:M4076" si="1277">+IF(K4053=0,(""),(K4053*G4053))</f>
        <v>117.77777777777779</v>
      </c>
      <c r="N4053" s="57">
        <f t="shared" si="1275"/>
        <v>15.555555555555557</v>
      </c>
    </row>
    <row r="4054" spans="1:14" x14ac:dyDescent="0.25">
      <c r="A4054">
        <v>291</v>
      </c>
      <c r="B4054" s="1">
        <v>44160</v>
      </c>
      <c r="C4054" s="57" t="str">
        <f>IF(Ventas[[#This Row],[Fecha ]]="","",+TEXT(B4054,"mmmm"))</f>
        <v>noviembre</v>
      </c>
      <c r="D4054" s="57" t="str">
        <f>IFERROR(+VLOOKUP(Ventas[[#This Row],[Codigo de Producto]],Productos[#All],3,FALSE),"")</f>
        <v>Cerámica</v>
      </c>
      <c r="E4054" t="s">
        <v>644</v>
      </c>
      <c r="F4054" s="57" t="str">
        <f>IFERROR(+VLOOKUP(Ventas[[#This Row],[Codigo de Producto]],Productos[#All],4,FALSE),"")</f>
        <v>802 Roble</v>
      </c>
      <c r="G4054">
        <v>2</v>
      </c>
      <c r="H4054">
        <v>240</v>
      </c>
      <c r="I4054" s="57">
        <f>IF(Ventas[[#This Row],[Cantidad]]="","",+Ventas[[#This Row],[Cantidad]]*Ventas[[#This Row],[Precio]])</f>
        <v>480</v>
      </c>
      <c r="J4054" s="57" t="str">
        <f>IFERROR(+VLOOKUP(Ventas[[#This Row],[Codigo de Producto]],Productos[#All],2,FALSE),"")</f>
        <v>Dispiasa</v>
      </c>
      <c r="K4054" s="57">
        <f>IFERROR(+VLOOKUP(Ventas[[#This Row],[Codigo de Producto]],Productos[#All],9,FALSE),"")</f>
        <v>207</v>
      </c>
      <c r="M4054" s="57">
        <f t="shared" si="1277"/>
        <v>414</v>
      </c>
      <c r="N4054" s="57">
        <f t="shared" si="1275"/>
        <v>66</v>
      </c>
    </row>
    <row r="4055" spans="1:14" x14ac:dyDescent="0.25">
      <c r="A4055">
        <v>292</v>
      </c>
      <c r="B4055" s="1">
        <v>44160</v>
      </c>
      <c r="C4055" s="57" t="str">
        <f>IF(Ventas[[#This Row],[Fecha ]]="","",+TEXT(B4055,"mmmm"))</f>
        <v>noviembre</v>
      </c>
      <c r="D4055" s="57" t="str">
        <f>IFERROR(+VLOOKUP(Ventas[[#This Row],[Codigo de Producto]],Productos[#All],3,FALSE),"")</f>
        <v>Cerámica</v>
      </c>
      <c r="E4055" t="s">
        <v>696</v>
      </c>
      <c r="F4055" s="57" t="str">
        <f>IFERROR(+VLOOKUP(Ventas[[#This Row],[Codigo de Producto]],Productos[#All],4,FALSE),"")</f>
        <v>Madera Cedro</v>
      </c>
      <c r="G4055">
        <v>5.35</v>
      </c>
      <c r="H4055">
        <v>280</v>
      </c>
      <c r="I4055" s="57">
        <f>IF(Ventas[[#This Row],[Cantidad]]="","",+Ventas[[#This Row],[Cantidad]]*Ventas[[#This Row],[Precio]])</f>
        <v>1498</v>
      </c>
      <c r="J4055" s="57" t="str">
        <f>IFERROR(+VLOOKUP(Ventas[[#This Row],[Codigo de Producto]],Productos[#All],2,FALSE),"")</f>
        <v>Comasa</v>
      </c>
      <c r="K4055" s="57">
        <f>IFERROR(+VLOOKUP(Ventas[[#This Row],[Codigo de Producto]],Productos[#All],9,FALSE),"")</f>
        <v>236</v>
      </c>
      <c r="M4055" s="57">
        <f t="shared" si="1277"/>
        <v>1262.5999999999999</v>
      </c>
      <c r="N4055" s="57">
        <f t="shared" si="1275"/>
        <v>235.40000000000009</v>
      </c>
    </row>
    <row r="4056" spans="1:14" x14ac:dyDescent="0.25">
      <c r="A4056">
        <v>293</v>
      </c>
      <c r="B4056" s="1">
        <v>44160</v>
      </c>
      <c r="C4056" s="57" t="str">
        <f>IF(Ventas[[#This Row],[Fecha ]]="","",+TEXT(B4056,"mmmm"))</f>
        <v>noviembre</v>
      </c>
      <c r="D4056" s="57" t="str">
        <f>IFERROR(+VLOOKUP(Ventas[[#This Row],[Codigo de Producto]],Productos[#All],3,FALSE),"")</f>
        <v>Cerámica</v>
      </c>
      <c r="E4056" t="s">
        <v>680</v>
      </c>
      <c r="F4056" s="57" t="str">
        <f>IFERROR(+VLOOKUP(Ventas[[#This Row],[Codigo de Producto]],Productos[#All],4,FALSE),"")</f>
        <v>Sunset Beige</v>
      </c>
      <c r="G4056">
        <v>4</v>
      </c>
      <c r="H4056">
        <v>280</v>
      </c>
      <c r="I4056" s="57">
        <f>IF(Ventas[[#This Row],[Cantidad]]="","",+Ventas[[#This Row],[Cantidad]]*Ventas[[#This Row],[Precio]])</f>
        <v>1120</v>
      </c>
      <c r="J4056" s="57" t="str">
        <f>IFERROR(+VLOOKUP(Ventas[[#This Row],[Codigo de Producto]],Productos[#All],2,FALSE),"")</f>
        <v>Comasa</v>
      </c>
      <c r="K4056" s="57">
        <f>IFERROR(+VLOOKUP(Ventas[[#This Row],[Codigo de Producto]],Productos[#All],9,FALSE),"")</f>
        <v>248</v>
      </c>
      <c r="M4056" s="57">
        <f t="shared" si="1277"/>
        <v>992</v>
      </c>
      <c r="N4056" s="57">
        <f t="shared" si="1275"/>
        <v>128</v>
      </c>
    </row>
    <row r="4057" spans="1:14" x14ac:dyDescent="0.25">
      <c r="A4057">
        <v>294</v>
      </c>
      <c r="B4057" s="1">
        <v>44160</v>
      </c>
      <c r="C4057" s="57" t="str">
        <f>IF(Ventas[[#This Row],[Fecha ]]="","",+TEXT(B4057,"mmmm"))</f>
        <v>noviembre</v>
      </c>
      <c r="D4057" s="57" t="str">
        <f>IFERROR(+VLOOKUP(Ventas[[#This Row],[Codigo de Producto]],Productos[#All],3,FALSE),"")</f>
        <v>Cerámica</v>
      </c>
      <c r="E4057" t="s">
        <v>678</v>
      </c>
      <c r="F4057" s="57" t="str">
        <f>IFERROR(+VLOOKUP(Ventas[[#This Row],[Codigo de Producto]],Productos[#All],4,FALSE),"")</f>
        <v>Sunset Azul</v>
      </c>
      <c r="G4057">
        <v>3.5</v>
      </c>
      <c r="H4057">
        <v>280</v>
      </c>
      <c r="I4057" s="57">
        <f>IF(Ventas[[#This Row],[Cantidad]]="","",+Ventas[[#This Row],[Cantidad]]*Ventas[[#This Row],[Precio]])</f>
        <v>980</v>
      </c>
      <c r="J4057" s="57" t="str">
        <f>IFERROR(+VLOOKUP(Ventas[[#This Row],[Codigo de Producto]],Productos[#All],2,FALSE),"")</f>
        <v>Comasa</v>
      </c>
      <c r="K4057" s="57">
        <f>IFERROR(+VLOOKUP(Ventas[[#This Row],[Codigo de Producto]],Productos[#All],9,FALSE),"")</f>
        <v>248</v>
      </c>
      <c r="M4057" s="57">
        <f t="shared" si="1277"/>
        <v>868</v>
      </c>
      <c r="N4057" s="57">
        <f t="shared" si="1275"/>
        <v>112</v>
      </c>
    </row>
    <row r="4058" spans="1:14" x14ac:dyDescent="0.25">
      <c r="A4058">
        <v>295</v>
      </c>
      <c r="B4058" s="1">
        <v>44160</v>
      </c>
      <c r="C4058" s="57" t="str">
        <f>IF(Ventas[[#This Row],[Fecha ]]="","",+TEXT(B4058,"mmmm"))</f>
        <v>noviembre</v>
      </c>
      <c r="D4058" s="57" t="str">
        <f>IFERROR(+VLOOKUP(Ventas[[#This Row],[Codigo de Producto]],Productos[#All],3,FALSE),"")</f>
        <v>Cerámica</v>
      </c>
      <c r="E4058" t="s">
        <v>678</v>
      </c>
      <c r="F4058" s="57" t="str">
        <f>IFERROR(+VLOOKUP(Ventas[[#This Row],[Codigo de Producto]],Productos[#All],4,FALSE),"")</f>
        <v>Sunset Azul</v>
      </c>
      <c r="G4058">
        <f>1/9</f>
        <v>0.1111111111111111</v>
      </c>
      <c r="H4058">
        <v>280</v>
      </c>
      <c r="I4058" s="57">
        <f>IF(Ventas[[#This Row],[Cantidad]]="","",+Ventas[[#This Row],[Cantidad]]*Ventas[[#This Row],[Precio]])</f>
        <v>31.111111111111111</v>
      </c>
      <c r="J4058" s="57" t="str">
        <f>IFERROR(+VLOOKUP(Ventas[[#This Row],[Codigo de Producto]],Productos[#All],2,FALSE),"")</f>
        <v>Comasa</v>
      </c>
      <c r="K4058" s="57">
        <f>IFERROR(+VLOOKUP(Ventas[[#This Row],[Codigo de Producto]],Productos[#All],9,FALSE),"")</f>
        <v>248</v>
      </c>
      <c r="M4058" s="57">
        <f t="shared" si="1277"/>
        <v>27.555555555555554</v>
      </c>
      <c r="N4058" s="57">
        <f t="shared" si="1275"/>
        <v>3.5555555555555571</v>
      </c>
    </row>
    <row r="4059" spans="1:14" x14ac:dyDescent="0.25">
      <c r="A4059">
        <v>296</v>
      </c>
      <c r="B4059" s="1">
        <v>44160</v>
      </c>
      <c r="C4059" s="57" t="str">
        <f>IF(Ventas[[#This Row],[Fecha ]]="","",+TEXT(B4059,"mmmm"))</f>
        <v>noviembre</v>
      </c>
      <c r="D4059" s="57" t="str">
        <f>IFERROR(+VLOOKUP(Ventas[[#This Row],[Codigo de Producto]],Productos[#All],3,FALSE),"")</f>
        <v>Cerámica</v>
      </c>
      <c r="E4059" t="s">
        <v>691</v>
      </c>
      <c r="F4059" s="57" t="str">
        <f>IFERROR(+VLOOKUP(Ventas[[#This Row],[Codigo de Producto]],Productos[#All],4,FALSE),"")</f>
        <v>Madera Dinizia Oscuro</v>
      </c>
      <c r="G4059">
        <v>8</v>
      </c>
      <c r="H4059">
        <v>240</v>
      </c>
      <c r="I4059" s="57">
        <f>IF(Ventas[[#This Row],[Cantidad]]="","",+Ventas[[#This Row],[Cantidad]]*Ventas[[#This Row],[Precio]])</f>
        <v>1920</v>
      </c>
      <c r="J4059" s="57" t="str">
        <f>IFERROR(+VLOOKUP(Ventas[[#This Row],[Codigo de Producto]],Productos[#All],2,FALSE),"")</f>
        <v>Comasa</v>
      </c>
      <c r="K4059" s="57">
        <f>IFERROR(+VLOOKUP(Ventas[[#This Row],[Codigo de Producto]],Productos[#All],9,FALSE),"")</f>
        <v>212</v>
      </c>
      <c r="M4059" s="57">
        <f t="shared" si="1277"/>
        <v>1696</v>
      </c>
      <c r="N4059" s="57">
        <f t="shared" si="1275"/>
        <v>224</v>
      </c>
    </row>
    <row r="4060" spans="1:14" x14ac:dyDescent="0.25">
      <c r="A4060">
        <v>297</v>
      </c>
      <c r="B4060" s="1">
        <v>44160</v>
      </c>
      <c r="C4060" s="57" t="str">
        <f>IF(Ventas[[#This Row],[Fecha ]]="","",+TEXT(B4060,"mmmm"))</f>
        <v>noviembre</v>
      </c>
      <c r="D4060" s="57" t="str">
        <f>IFERROR(+VLOOKUP(Ventas[[#This Row],[Codigo de Producto]],Productos[#All],3,FALSE),"")</f>
        <v>Cerámica</v>
      </c>
      <c r="E4060" t="s">
        <v>696</v>
      </c>
      <c r="F4060" s="57" t="str">
        <f>IFERROR(+VLOOKUP(Ventas[[#This Row],[Codigo de Producto]],Productos[#All],4,FALSE),"")</f>
        <v>Madera Cedro</v>
      </c>
      <c r="G4060">
        <v>16</v>
      </c>
      <c r="H4060">
        <v>280</v>
      </c>
      <c r="I4060" s="57">
        <f>IF(Ventas[[#This Row],[Cantidad]]="","",+Ventas[[#This Row],[Cantidad]]*Ventas[[#This Row],[Precio]])</f>
        <v>4480</v>
      </c>
      <c r="J4060" s="57" t="str">
        <f>IFERROR(+VLOOKUP(Ventas[[#This Row],[Codigo de Producto]],Productos[#All],2,FALSE),"")</f>
        <v>Comasa</v>
      </c>
      <c r="K4060" s="57">
        <f>IFERROR(+VLOOKUP(Ventas[[#This Row],[Codigo de Producto]],Productos[#All],9,FALSE),"")</f>
        <v>236</v>
      </c>
      <c r="M4060" s="57">
        <f t="shared" si="1277"/>
        <v>3776</v>
      </c>
      <c r="N4060" s="57">
        <f t="shared" si="1275"/>
        <v>704</v>
      </c>
    </row>
    <row r="4061" spans="1:14" x14ac:dyDescent="0.25">
      <c r="A4061">
        <v>298</v>
      </c>
      <c r="B4061" s="1">
        <v>44160</v>
      </c>
      <c r="C4061" s="57" t="str">
        <f>IF(Ventas[[#This Row],[Fecha ]]="","",+TEXT(B4061,"mmmm"))</f>
        <v>noviembre</v>
      </c>
      <c r="D4061" s="57" t="str">
        <f>IFERROR(+VLOOKUP(Ventas[[#This Row],[Codigo de Producto]],Productos[#All],3,FALSE),"")</f>
        <v>Cerámica</v>
      </c>
      <c r="E4061" t="s">
        <v>691</v>
      </c>
      <c r="F4061" s="57" t="str">
        <f>IFERROR(+VLOOKUP(Ventas[[#This Row],[Codigo de Producto]],Productos[#All],4,FALSE),"")</f>
        <v>Madera Dinizia Oscuro</v>
      </c>
      <c r="G4061">
        <v>24</v>
      </c>
      <c r="H4061">
        <v>240</v>
      </c>
      <c r="I4061" s="57">
        <f>IF(Ventas[[#This Row],[Cantidad]]="","",+Ventas[[#This Row],[Cantidad]]*Ventas[[#This Row],[Precio]])</f>
        <v>5760</v>
      </c>
      <c r="J4061" s="57" t="str">
        <f>IFERROR(+VLOOKUP(Ventas[[#This Row],[Codigo de Producto]],Productos[#All],2,FALSE),"")</f>
        <v>Comasa</v>
      </c>
      <c r="K4061" s="57">
        <f>IFERROR(+VLOOKUP(Ventas[[#This Row],[Codigo de Producto]],Productos[#All],9,FALSE),"")</f>
        <v>212</v>
      </c>
      <c r="M4061" s="57">
        <f t="shared" si="1277"/>
        <v>5088</v>
      </c>
      <c r="N4061" s="57">
        <f t="shared" si="1275"/>
        <v>672</v>
      </c>
    </row>
    <row r="4062" spans="1:14" x14ac:dyDescent="0.25">
      <c r="A4062">
        <v>299</v>
      </c>
      <c r="B4062" s="1">
        <v>44160</v>
      </c>
      <c r="C4062" s="57" t="str">
        <f>IF(Ventas[[#This Row],[Fecha ]]="","",+TEXT(B4062,"mmmm"))</f>
        <v>noviembre</v>
      </c>
      <c r="D4062" s="57" t="str">
        <f>IFERROR(+VLOOKUP(Ventas[[#This Row],[Codigo de Producto]],Productos[#All],3,FALSE),"")</f>
        <v>Cerámica</v>
      </c>
      <c r="E4062" t="s">
        <v>731</v>
      </c>
      <c r="F4062" s="57" t="str">
        <f>IFERROR(+VLOOKUP(Ventas[[#This Row],[Codigo de Producto]],Productos[#All],4,FALSE),"")</f>
        <v>Sorrento Marrón Liso</v>
      </c>
      <c r="G4062">
        <v>20</v>
      </c>
      <c r="H4062">
        <v>295</v>
      </c>
      <c r="I4062" s="57">
        <f>IF(Ventas[[#This Row],[Cantidad]]="","",+Ventas[[#This Row],[Cantidad]]*Ventas[[#This Row],[Precio]])</f>
        <v>5900</v>
      </c>
      <c r="J4062" s="57" t="str">
        <f>IFERROR(+VLOOKUP(Ventas[[#This Row],[Codigo de Producto]],Productos[#All],2,FALSE),"")</f>
        <v>Dispiasa</v>
      </c>
      <c r="K4062" s="57">
        <f>IFERROR(+VLOOKUP(Ventas[[#This Row],[Codigo de Producto]],Productos[#All],9,FALSE),"")</f>
        <v>268</v>
      </c>
      <c r="M4062" s="57">
        <f t="shared" si="1277"/>
        <v>5360</v>
      </c>
      <c r="N4062" s="57">
        <f t="shared" si="1275"/>
        <v>540</v>
      </c>
    </row>
    <row r="4063" spans="1:14" x14ac:dyDescent="0.25">
      <c r="A4063">
        <v>300</v>
      </c>
      <c r="B4063" s="1">
        <v>44160</v>
      </c>
      <c r="C4063" s="57" t="str">
        <f>IF(Ventas[[#This Row],[Fecha ]]="","",+TEXT(B4063,"mmmm"))</f>
        <v>noviembre</v>
      </c>
      <c r="D4063" s="57" t="str">
        <f>IFERROR(+VLOOKUP(Ventas[[#This Row],[Codigo de Producto]],Productos[#All],3,FALSE),"")</f>
        <v>Inodoro</v>
      </c>
      <c r="E4063" t="s">
        <v>618</v>
      </c>
      <c r="F4063" s="57" t="str">
        <f>IFERROR(+VLOOKUP(Ventas[[#This Row],[Codigo de Producto]],Productos[#All],4,FALSE),"")</f>
        <v>Inodoro Aqua Blanco</v>
      </c>
      <c r="G4063">
        <v>1</v>
      </c>
      <c r="H4063">
        <v>1650</v>
      </c>
      <c r="I4063" s="57">
        <f>IF(Ventas[[#This Row],[Cantidad]]="","",+Ventas[[#This Row],[Cantidad]]*Ventas[[#This Row],[Precio]])</f>
        <v>1650</v>
      </c>
      <c r="J4063" s="57" t="str">
        <f>IFERROR(+VLOOKUP(Ventas[[#This Row],[Codigo de Producto]],Productos[#All],2,FALSE),"")</f>
        <v>Dispiasa</v>
      </c>
      <c r="K4063" s="57">
        <f>IFERROR(+VLOOKUP(Ventas[[#This Row],[Codigo de Producto]],Productos[#All],9,FALSE),"")</f>
        <v>1440</v>
      </c>
      <c r="M4063" s="57">
        <f t="shared" si="1277"/>
        <v>1440</v>
      </c>
      <c r="N4063" s="57">
        <f t="shared" si="1275"/>
        <v>210</v>
      </c>
    </row>
    <row r="4064" spans="1:14" x14ac:dyDescent="0.25">
      <c r="A4064">
        <v>301</v>
      </c>
      <c r="B4064" s="1">
        <v>44161</v>
      </c>
      <c r="C4064" s="57" t="str">
        <f>IF(Ventas[[#This Row],[Fecha ]]="","",+TEXT(B4064,"mmmm"))</f>
        <v>noviembre</v>
      </c>
      <c r="D4064" s="57" t="str">
        <f>IFERROR(+VLOOKUP(Ventas[[#This Row],[Codigo de Producto]],Productos[#All],3,FALSE),"")</f>
        <v>Azulejos</v>
      </c>
      <c r="E4064" t="s">
        <v>716</v>
      </c>
      <c r="F4064" s="57" t="str">
        <f>IFERROR(+VLOOKUP(Ventas[[#This Row],[Codigo de Producto]],Productos[#All],4,FALSE),"")</f>
        <v>Lisboa Verde Liso</v>
      </c>
      <c r="G4064">
        <v>3.5</v>
      </c>
      <c r="H4064">
        <v>300</v>
      </c>
      <c r="I4064" s="57">
        <f>IF(Ventas[[#This Row],[Cantidad]]="","",+Ventas[[#This Row],[Cantidad]]*Ventas[[#This Row],[Precio]])</f>
        <v>1050</v>
      </c>
      <c r="J4064" s="57" t="str">
        <f>IFERROR(+VLOOKUP(Ventas[[#This Row],[Codigo de Producto]],Productos[#All],2,FALSE),"")</f>
        <v>Dispiasa</v>
      </c>
      <c r="K4064" s="57">
        <f>IFERROR(+VLOOKUP(Ventas[[#This Row],[Codigo de Producto]],Productos[#All],9,FALSE),"")</f>
        <v>268</v>
      </c>
      <c r="M4064" s="57">
        <f t="shared" si="1277"/>
        <v>938</v>
      </c>
      <c r="N4064" s="57">
        <f t="shared" si="1275"/>
        <v>112</v>
      </c>
    </row>
    <row r="4065" spans="1:14" x14ac:dyDescent="0.25">
      <c r="A4065">
        <v>302</v>
      </c>
      <c r="B4065" s="1">
        <v>44161</v>
      </c>
      <c r="C4065" s="57" t="str">
        <f>IF(Ventas[[#This Row],[Fecha ]]="","",+TEXT(B4065,"mmmm"))</f>
        <v>noviembre</v>
      </c>
      <c r="D4065" s="57" t="str">
        <f>IFERROR(+VLOOKUP(Ventas[[#This Row],[Codigo de Producto]],Productos[#All],3,FALSE),"")</f>
        <v>Azulejos</v>
      </c>
      <c r="E4065" t="s">
        <v>630</v>
      </c>
      <c r="F4065" s="57" t="str">
        <f>IFERROR(+VLOOKUP(Ventas[[#This Row],[Codigo de Producto]],Productos[#All],4,FALSE),"")</f>
        <v>Bruselas Beige Liso</v>
      </c>
      <c r="G4065">
        <v>3</v>
      </c>
      <c r="H4065">
        <v>300</v>
      </c>
      <c r="I4065" s="57">
        <f>IF(Ventas[[#This Row],[Cantidad]]="","",+Ventas[[#This Row],[Cantidad]]*Ventas[[#This Row],[Precio]])</f>
        <v>900</v>
      </c>
      <c r="J4065" s="57" t="str">
        <f>IFERROR(+VLOOKUP(Ventas[[#This Row],[Codigo de Producto]],Productos[#All],2,FALSE),"")</f>
        <v>Dispiasa</v>
      </c>
      <c r="K4065" s="57">
        <f>IFERROR(+VLOOKUP(Ventas[[#This Row],[Codigo de Producto]],Productos[#All],9,FALSE),"")</f>
        <v>268</v>
      </c>
      <c r="M4065" s="57">
        <f t="shared" si="1277"/>
        <v>804</v>
      </c>
      <c r="N4065" s="57">
        <f t="shared" si="1275"/>
        <v>96</v>
      </c>
    </row>
    <row r="4066" spans="1:14" x14ac:dyDescent="0.25">
      <c r="A4066">
        <v>303</v>
      </c>
      <c r="B4066" s="1">
        <v>44161</v>
      </c>
      <c r="C4066" s="57" t="str">
        <f>IF(Ventas[[#This Row],[Fecha ]]="","",+TEXT(B4066,"mmmm"))</f>
        <v>noviembre</v>
      </c>
      <c r="D4066" s="57" t="str">
        <f>IFERROR(+VLOOKUP(Ventas[[#This Row],[Codigo de Producto]],Productos[#All],3,FALSE),"")</f>
        <v>Azulejos</v>
      </c>
      <c r="E4066" t="s">
        <v>642</v>
      </c>
      <c r="F4066" s="57" t="str">
        <f>IFERROR(+VLOOKUP(Ventas[[#This Row],[Codigo de Producto]],Productos[#All],4,FALSE),"")</f>
        <v>722 Marrón</v>
      </c>
      <c r="G4066">
        <v>3</v>
      </c>
      <c r="H4066">
        <v>270</v>
      </c>
      <c r="I4066" s="57">
        <f>IF(Ventas[[#This Row],[Cantidad]]="","",+Ventas[[#This Row],[Cantidad]]*Ventas[[#This Row],[Precio]])</f>
        <v>810</v>
      </c>
      <c r="J4066" s="57" t="str">
        <f>IFERROR(+VLOOKUP(Ventas[[#This Row],[Codigo de Producto]],Productos[#All],2,FALSE),"")</f>
        <v>Dispiasa</v>
      </c>
      <c r="K4066" s="57">
        <f>IFERROR(+VLOOKUP(Ventas[[#This Row],[Codigo de Producto]],Productos[#All],9,FALSE),"")</f>
        <v>207</v>
      </c>
      <c r="M4066" s="57">
        <f t="shared" si="1277"/>
        <v>621</v>
      </c>
      <c r="N4066" s="57">
        <f t="shared" si="1275"/>
        <v>189</v>
      </c>
    </row>
    <row r="4067" spans="1:14" x14ac:dyDescent="0.25">
      <c r="A4067">
        <v>304</v>
      </c>
      <c r="B4067" s="1">
        <v>44161</v>
      </c>
      <c r="C4067" s="57" t="str">
        <f>IF(Ventas[[#This Row],[Fecha ]]="","",+TEXT(B4067,"mmmm"))</f>
        <v>noviembre</v>
      </c>
      <c r="D4067" s="57" t="str">
        <f>IFERROR(+VLOOKUP(Ventas[[#This Row],[Codigo de Producto]],Productos[#All],3,FALSE),"")</f>
        <v>Azulejos</v>
      </c>
      <c r="E4067" t="s">
        <v>870</v>
      </c>
      <c r="F4067" s="57" t="str">
        <f>IFERROR(+VLOOKUP(Ventas[[#This Row],[Codigo de Producto]],Productos[#All],4,FALSE),"")</f>
        <v>Andes Plus Blanco</v>
      </c>
      <c r="G4067">
        <v>1</v>
      </c>
      <c r="H4067">
        <v>300</v>
      </c>
      <c r="I4067" s="57">
        <f>IF(Ventas[[#This Row],[Cantidad]]="","",+Ventas[[#This Row],[Cantidad]]*Ventas[[#This Row],[Precio]])</f>
        <v>300</v>
      </c>
      <c r="J4067" s="57" t="str">
        <f>IFERROR(+VLOOKUP(Ventas[[#This Row],[Codigo de Producto]],Productos[#All],2,FALSE),"")</f>
        <v>Comasa</v>
      </c>
      <c r="K4067" s="57">
        <f ca="1">IFERROR(+VLOOKUP(Ventas[[#This Row],[Codigo de Producto]],Productos[#All],9,FALSE),"")</f>
        <v>272</v>
      </c>
      <c r="M4067" s="57">
        <f t="shared" ca="1" si="1277"/>
        <v>272</v>
      </c>
      <c r="N4067" s="57">
        <f t="shared" ca="1" si="1275"/>
        <v>28</v>
      </c>
    </row>
    <row r="4068" spans="1:14" x14ac:dyDescent="0.25">
      <c r="A4068">
        <v>305</v>
      </c>
      <c r="B4068" s="1">
        <v>44161</v>
      </c>
      <c r="C4068" s="57" t="str">
        <f>IF(Ventas[[#This Row],[Fecha ]]="","",+TEXT(B4068,"mmmm"))</f>
        <v>noviembre</v>
      </c>
      <c r="D4068" s="57" t="str">
        <f>IFERROR(+VLOOKUP(Ventas[[#This Row],[Codigo de Producto]],Productos[#All],3,FALSE),"")</f>
        <v>Azulejos</v>
      </c>
      <c r="E4068" t="s">
        <v>870</v>
      </c>
      <c r="F4068" s="57" t="str">
        <f>IFERROR(+VLOOKUP(Ventas[[#This Row],[Codigo de Producto]],Productos[#All],4,FALSE),"")</f>
        <v>Andes Plus Blanco</v>
      </c>
      <c r="G4068">
        <f>2/16</f>
        <v>0.125</v>
      </c>
      <c r="H4068">
        <v>300</v>
      </c>
      <c r="I4068" s="57">
        <f>IF(Ventas[[#This Row],[Cantidad]]="","",+Ventas[[#This Row],[Cantidad]]*Ventas[[#This Row],[Precio]])</f>
        <v>37.5</v>
      </c>
      <c r="J4068" s="57" t="str">
        <f>IFERROR(+VLOOKUP(Ventas[[#This Row],[Codigo de Producto]],Productos[#All],2,FALSE),"")</f>
        <v>Comasa</v>
      </c>
      <c r="K4068" s="57">
        <f ca="1">IFERROR(+VLOOKUP(Ventas[[#This Row],[Codigo de Producto]],Productos[#All],9,FALSE),"")</f>
        <v>272</v>
      </c>
      <c r="M4068" s="57">
        <f t="shared" ca="1" si="1277"/>
        <v>34</v>
      </c>
      <c r="N4068" s="57">
        <f t="shared" ca="1" si="1275"/>
        <v>3.5</v>
      </c>
    </row>
    <row r="4069" spans="1:14" x14ac:dyDescent="0.25">
      <c r="A4069">
        <v>306</v>
      </c>
      <c r="B4069" s="1">
        <v>44161</v>
      </c>
      <c r="C4069" s="57" t="str">
        <f>IF(Ventas[[#This Row],[Fecha ]]="","",+TEXT(B4069,"mmmm"))</f>
        <v>noviembre</v>
      </c>
      <c r="D4069" s="57" t="str">
        <f>IFERROR(+VLOOKUP(Ventas[[#This Row],[Codigo de Producto]],Productos[#All],3,FALSE),"")</f>
        <v>Inodoro</v>
      </c>
      <c r="E4069" t="s">
        <v>618</v>
      </c>
      <c r="F4069" s="57" t="str">
        <f>IFERROR(+VLOOKUP(Ventas[[#This Row],[Codigo de Producto]],Productos[#All],4,FALSE),"")</f>
        <v>Inodoro Aqua Blanco</v>
      </c>
      <c r="G4069">
        <v>1</v>
      </c>
      <c r="H4069">
        <v>1650</v>
      </c>
      <c r="I4069" s="57">
        <f>IF(Ventas[[#This Row],[Cantidad]]="","",+Ventas[[#This Row],[Cantidad]]*Ventas[[#This Row],[Precio]])</f>
        <v>1650</v>
      </c>
      <c r="J4069" s="57" t="str">
        <f>IFERROR(+VLOOKUP(Ventas[[#This Row],[Codigo de Producto]],Productos[#All],2,FALSE),"")</f>
        <v>Dispiasa</v>
      </c>
      <c r="K4069" s="57">
        <f>IFERROR(+VLOOKUP(Ventas[[#This Row],[Codigo de Producto]],Productos[#All],9,FALSE),"")</f>
        <v>1440</v>
      </c>
      <c r="M4069" s="57">
        <f t="shared" si="1277"/>
        <v>1440</v>
      </c>
      <c r="N4069" s="57">
        <f t="shared" si="1275"/>
        <v>210</v>
      </c>
    </row>
    <row r="4070" spans="1:14" x14ac:dyDescent="0.25">
      <c r="A4070">
        <v>307</v>
      </c>
      <c r="B4070" s="1">
        <v>44161</v>
      </c>
      <c r="C4070" s="57" t="str">
        <f>IF(Ventas[[#This Row],[Fecha ]]="","",+TEXT(B4070,"mmmm"))</f>
        <v>noviembre</v>
      </c>
      <c r="D4070" s="57" t="str">
        <f>IFERROR(+VLOOKUP(Ventas[[#This Row],[Codigo de Producto]],Productos[#All],3,FALSE),"")</f>
        <v>Azulejos</v>
      </c>
      <c r="E4070" t="s">
        <v>642</v>
      </c>
      <c r="F4070" s="57" t="str">
        <f>IFERROR(+VLOOKUP(Ventas[[#This Row],[Codigo de Producto]],Productos[#All],4,FALSE),"")</f>
        <v>722 Marrón</v>
      </c>
      <c r="G4070">
        <v>3</v>
      </c>
      <c r="H4070">
        <v>270</v>
      </c>
      <c r="I4070" s="57">
        <f>IF(Ventas[[#This Row],[Cantidad]]="","",+Ventas[[#This Row],[Cantidad]]*Ventas[[#This Row],[Precio]])</f>
        <v>810</v>
      </c>
      <c r="J4070" s="57" t="str">
        <f>IFERROR(+VLOOKUP(Ventas[[#This Row],[Codigo de Producto]],Productos[#All],2,FALSE),"")</f>
        <v>Dispiasa</v>
      </c>
      <c r="K4070" s="57">
        <f>IFERROR(+VLOOKUP(Ventas[[#This Row],[Codigo de Producto]],Productos[#All],9,FALSE),"")</f>
        <v>207</v>
      </c>
      <c r="M4070" s="57">
        <f t="shared" si="1277"/>
        <v>621</v>
      </c>
      <c r="N4070" s="57">
        <f t="shared" si="1275"/>
        <v>189</v>
      </c>
    </row>
    <row r="4071" spans="1:14" x14ac:dyDescent="0.25">
      <c r="A4071">
        <v>308</v>
      </c>
      <c r="B4071" s="1">
        <v>44161</v>
      </c>
      <c r="C4071" s="57" t="str">
        <f>IF(Ventas[[#This Row],[Fecha ]]="","",+TEXT(B4071,"mmmm"))</f>
        <v>noviembre</v>
      </c>
      <c r="D4071" s="57" t="str">
        <f>IFERROR(+VLOOKUP(Ventas[[#This Row],[Codigo de Producto]],Productos[#All],3,FALSE),"")</f>
        <v>Cerámica</v>
      </c>
      <c r="E4071" t="s">
        <v>845</v>
      </c>
      <c r="F4071" s="57" t="str">
        <f>IFERROR(+VLOOKUP(Ventas[[#This Row],[Codigo de Producto]],Productos[#All],4,FALSE),"")</f>
        <v xml:space="preserve">Carmine </v>
      </c>
      <c r="G4071">
        <v>4</v>
      </c>
      <c r="H4071">
        <v>300</v>
      </c>
      <c r="I4071" s="57">
        <f>IF(Ventas[[#This Row],[Cantidad]]="","",+Ventas[[#This Row],[Cantidad]]*Ventas[[#This Row],[Precio]])</f>
        <v>1200</v>
      </c>
      <c r="J4071" s="57" t="str">
        <f>IFERROR(+VLOOKUP(Ventas[[#This Row],[Codigo de Producto]],Productos[#All],2,FALSE),"")</f>
        <v>Comasa</v>
      </c>
      <c r="K4071" s="57">
        <f ca="1">IFERROR(+VLOOKUP(Ventas[[#This Row],[Codigo de Producto]],Productos[#All],9,FALSE),"")</f>
        <v>242</v>
      </c>
      <c r="M4071" s="57">
        <f t="shared" ca="1" si="1277"/>
        <v>968</v>
      </c>
      <c r="N4071" s="57">
        <f t="shared" ca="1" si="1275"/>
        <v>232</v>
      </c>
    </row>
    <row r="4072" spans="1:14" x14ac:dyDescent="0.25">
      <c r="A4072">
        <v>309</v>
      </c>
      <c r="B4072" s="1">
        <v>44161</v>
      </c>
      <c r="C4072" s="57" t="str">
        <f>IF(Ventas[[#This Row],[Fecha ]]="","",+TEXT(B4072,"mmmm"))</f>
        <v>noviembre</v>
      </c>
      <c r="D4072" s="57" t="str">
        <f>IFERROR(+VLOOKUP(Ventas[[#This Row],[Codigo de Producto]],Productos[#All],3,FALSE),"")</f>
        <v>Cerámica</v>
      </c>
      <c r="E4072" t="s">
        <v>678</v>
      </c>
      <c r="F4072" s="57" t="str">
        <f>IFERROR(+VLOOKUP(Ventas[[#This Row],[Codigo de Producto]],Productos[#All],4,FALSE),"")</f>
        <v>Sunset Azul</v>
      </c>
      <c r="G4072">
        <v>1.5</v>
      </c>
      <c r="H4072">
        <v>280</v>
      </c>
      <c r="I4072" s="57">
        <f>IF(Ventas[[#This Row],[Cantidad]]="","",+Ventas[[#This Row],[Cantidad]]*Ventas[[#This Row],[Precio]])</f>
        <v>420</v>
      </c>
      <c r="J4072" s="57" t="str">
        <f>IFERROR(+VLOOKUP(Ventas[[#This Row],[Codigo de Producto]],Productos[#All],2,FALSE),"")</f>
        <v>Comasa</v>
      </c>
      <c r="K4072" s="57">
        <f>IFERROR(+VLOOKUP(Ventas[[#This Row],[Codigo de Producto]],Productos[#All],9,FALSE),"")</f>
        <v>248</v>
      </c>
      <c r="M4072" s="57">
        <f t="shared" si="1277"/>
        <v>372</v>
      </c>
      <c r="N4072" s="57">
        <f t="shared" si="1275"/>
        <v>48</v>
      </c>
    </row>
    <row r="4073" spans="1:14" x14ac:dyDescent="0.25">
      <c r="A4073">
        <v>310</v>
      </c>
      <c r="B4073" s="1">
        <v>44161</v>
      </c>
      <c r="C4073" s="57" t="str">
        <f>IF(Ventas[[#This Row],[Fecha ]]="","",+TEXT(B4073,"mmmm"))</f>
        <v>noviembre</v>
      </c>
      <c r="D4073" s="57" t="str">
        <f>IFERROR(+VLOOKUP(Ventas[[#This Row],[Codigo de Producto]],Productos[#All],3,FALSE),"")</f>
        <v>Cerámica</v>
      </c>
      <c r="E4073" t="s">
        <v>638</v>
      </c>
      <c r="F4073" s="57" t="str">
        <f>IFERROR(+VLOOKUP(Ventas[[#This Row],[Codigo de Producto]],Productos[#All],4,FALSE),"")</f>
        <v>222 Blanco</v>
      </c>
      <c r="G4073">
        <v>1.5</v>
      </c>
      <c r="H4073">
        <v>240</v>
      </c>
      <c r="I4073" s="57">
        <f>IF(Ventas[[#This Row],[Cantidad]]="","",+Ventas[[#This Row],[Cantidad]]*Ventas[[#This Row],[Precio]])</f>
        <v>360</v>
      </c>
      <c r="J4073" s="57" t="str">
        <f>IFERROR(+VLOOKUP(Ventas[[#This Row],[Codigo de Producto]],Productos[#All],2,FALSE),"")</f>
        <v>Dispiasa</v>
      </c>
      <c r="K4073" s="57">
        <f>IFERROR(+VLOOKUP(Ventas[[#This Row],[Codigo de Producto]],Productos[#All],9,FALSE),"")</f>
        <v>207</v>
      </c>
      <c r="M4073" s="57">
        <f t="shared" si="1277"/>
        <v>310.5</v>
      </c>
      <c r="N4073" s="57">
        <f t="shared" si="1275"/>
        <v>49.5</v>
      </c>
    </row>
    <row r="4074" spans="1:14" x14ac:dyDescent="0.25">
      <c r="A4074">
        <v>311</v>
      </c>
      <c r="B4074" s="1">
        <v>44161</v>
      </c>
      <c r="C4074" s="57" t="str">
        <f>IF(Ventas[[#This Row],[Fecha ]]="","",+TEXT(B4074,"mmmm"))</f>
        <v>noviembre</v>
      </c>
      <c r="D4074" s="57" t="str">
        <f>IFERROR(+VLOOKUP(Ventas[[#This Row],[Codigo de Producto]],Productos[#All],3,FALSE),"")</f>
        <v>Azulejos</v>
      </c>
      <c r="E4074" t="s">
        <v>853</v>
      </c>
      <c r="F4074" s="57" t="str">
        <f>IFERROR(+VLOOKUP(Ventas[[#This Row],[Codigo de Producto]],Productos[#All],4,FALSE),"")</f>
        <v>Primavera Azul 1</v>
      </c>
      <c r="G4074">
        <v>1.5</v>
      </c>
      <c r="H4074">
        <v>300</v>
      </c>
      <c r="I4074" s="57">
        <f>IF(Ventas[[#This Row],[Cantidad]]="","",+Ventas[[#This Row],[Cantidad]]*Ventas[[#This Row],[Precio]])</f>
        <v>450</v>
      </c>
      <c r="J4074" s="57" t="str">
        <f>IFERROR(+VLOOKUP(Ventas[[#This Row],[Codigo de Producto]],Productos[#All],2,FALSE),"")</f>
        <v>Dispiasa</v>
      </c>
      <c r="K4074" s="57">
        <f>IFERROR(+VLOOKUP(Ventas[[#This Row],[Codigo de Producto]],Productos[#All],9,FALSE),"")</f>
        <v>268</v>
      </c>
      <c r="M4074" s="57">
        <f t="shared" si="1277"/>
        <v>402</v>
      </c>
      <c r="N4074" s="57">
        <f t="shared" si="1275"/>
        <v>48</v>
      </c>
    </row>
    <row r="4075" spans="1:14" x14ac:dyDescent="0.25">
      <c r="A4075">
        <v>312</v>
      </c>
      <c r="B4075" s="1">
        <v>44161</v>
      </c>
      <c r="C4075" s="57" t="str">
        <f>IF(Ventas[[#This Row],[Fecha ]]="","",+TEXT(B4075,"mmmm"))</f>
        <v>noviembre</v>
      </c>
      <c r="D4075" s="57" t="str">
        <f>IFERROR(+VLOOKUP(Ventas[[#This Row],[Codigo de Producto]],Productos[#All],3,FALSE),"")</f>
        <v>Porcelana</v>
      </c>
      <c r="E4075" t="s">
        <v>708</v>
      </c>
      <c r="F4075" s="57" t="str">
        <f>IFERROR(+VLOOKUP(Ventas[[#This Row],[Codigo de Producto]],Productos[#All],4,FALSE),"")</f>
        <v xml:space="preserve">Porcelana Maya </v>
      </c>
      <c r="G4075">
        <v>1</v>
      </c>
      <c r="H4075">
        <v>60</v>
      </c>
      <c r="I4075" s="57">
        <f>IF(Ventas[[#This Row],[Cantidad]]="","",+Ventas[[#This Row],[Cantidad]]*Ventas[[#This Row],[Precio]])</f>
        <v>60</v>
      </c>
      <c r="J4075" s="57" t="str">
        <f>IFERROR(+VLOOKUP(Ventas[[#This Row],[Codigo de Producto]],Productos[#All],2,FALSE),"")</f>
        <v>Martinez</v>
      </c>
      <c r="K4075" s="57">
        <f>IFERROR(+VLOOKUP(Ventas[[#This Row],[Codigo de Producto]],Productos[#All],9,FALSE),"")</f>
        <v>33.333333333333336</v>
      </c>
      <c r="M4075" s="57">
        <f t="shared" si="1277"/>
        <v>33.333333333333336</v>
      </c>
      <c r="N4075" s="57">
        <f t="shared" si="1275"/>
        <v>26.666666666666664</v>
      </c>
    </row>
    <row r="4076" spans="1:14" x14ac:dyDescent="0.25">
      <c r="A4076">
        <v>313</v>
      </c>
      <c r="B4076" s="1">
        <v>44161</v>
      </c>
      <c r="C4076" s="57" t="str">
        <f>IF(Ventas[[#This Row],[Fecha ]]="","",+TEXT(B4076,"mmmm"))</f>
        <v>noviembre</v>
      </c>
      <c r="D4076" s="57" t="str">
        <f>IFERROR(+VLOOKUP(Ventas[[#This Row],[Codigo de Producto]],Productos[#All],3,FALSE),"")</f>
        <v>Separadores</v>
      </c>
      <c r="E4076" t="s">
        <v>720</v>
      </c>
      <c r="F4076" s="57" t="str">
        <f>IFERROR(+VLOOKUP(Ventas[[#This Row],[Codigo de Producto]],Productos[#All],4,FALSE),"")</f>
        <v>Separadores de 3 mm</v>
      </c>
      <c r="G4076">
        <v>1</v>
      </c>
      <c r="H4076">
        <v>35</v>
      </c>
      <c r="I4076" s="57">
        <f>IF(Ventas[[#This Row],[Cantidad]]="","",+Ventas[[#This Row],[Cantidad]]*Ventas[[#This Row],[Precio]])</f>
        <v>35</v>
      </c>
      <c r="J4076" s="57" t="str">
        <f>IFERROR(+VLOOKUP(Ventas[[#This Row],[Codigo de Producto]],Productos[#All],2,FALSE),"")</f>
        <v>Silco</v>
      </c>
      <c r="K4076" s="57">
        <f>IFERROR(+VLOOKUP(Ventas[[#This Row],[Codigo de Producto]],Productos[#All],9,FALSE),"")</f>
        <v>26</v>
      </c>
      <c r="M4076" s="57">
        <f t="shared" si="1277"/>
        <v>26</v>
      </c>
      <c r="N4076" s="57">
        <f t="shared" si="1275"/>
        <v>9</v>
      </c>
    </row>
    <row r="4077" spans="1:14" x14ac:dyDescent="0.25">
      <c r="A4077">
        <v>314</v>
      </c>
      <c r="B4077" s="1">
        <v>44161</v>
      </c>
      <c r="C4077" s="57" t="str">
        <f>IF(Ventas[[#This Row],[Fecha ]]="","",+TEXT(B4077,"mmmm"))</f>
        <v>noviembre</v>
      </c>
      <c r="D4077" s="57" t="str">
        <f>IFERROR(+VLOOKUP(Ventas[[#This Row],[Codigo de Producto]],Productos[#All],3,FALSE),"")</f>
        <v>Cerámica</v>
      </c>
      <c r="E4077" t="s">
        <v>693</v>
      </c>
      <c r="F4077" s="57" t="str">
        <f>IFERROR(+VLOOKUP(Ventas[[#This Row],[Codigo de Producto]],Productos[#All],4,FALSE),"")</f>
        <v>Madera Dinizia Claro</v>
      </c>
      <c r="G4077">
        <v>1</v>
      </c>
      <c r="H4077">
        <v>240</v>
      </c>
      <c r="I4077" s="57">
        <f>IF(Ventas[[#This Row],[Cantidad]]="","",+Ventas[[#This Row],[Cantidad]]*Ventas[[#This Row],[Precio]])</f>
        <v>240</v>
      </c>
      <c r="J4077" s="57" t="str">
        <f>IFERROR(+VLOOKUP(Ventas[[#This Row],[Codigo de Producto]],Productos[#All],2,FALSE),"")</f>
        <v>Comasa</v>
      </c>
      <c r="K4077" s="57">
        <f>IFERROR(+VLOOKUP(Ventas[[#This Row],[Codigo de Producto]],Productos[#All],9,FALSE),"")</f>
        <v>212</v>
      </c>
      <c r="M4077" s="57">
        <f t="shared" ref="M4077:M4121" si="1278">+IF(K4077=0,(""),(K4077*G4077))</f>
        <v>212</v>
      </c>
      <c r="N4077" s="57">
        <f t="shared" si="1275"/>
        <v>28</v>
      </c>
    </row>
    <row r="4078" spans="1:14" x14ac:dyDescent="0.25">
      <c r="A4078">
        <v>315</v>
      </c>
      <c r="B4078" s="1">
        <v>44161</v>
      </c>
      <c r="C4078" s="57" t="str">
        <f>IF(Ventas[[#This Row],[Fecha ]]="","",+TEXT(B4078,"mmmm"))</f>
        <v>noviembre</v>
      </c>
      <c r="D4078" s="57" t="str">
        <f>IFERROR(+VLOOKUP(Ventas[[#This Row],[Codigo de Producto]],Productos[#All],3,FALSE),"")</f>
        <v>Cerámica</v>
      </c>
      <c r="E4078" t="s">
        <v>691</v>
      </c>
      <c r="F4078" s="57" t="str">
        <f>IFERROR(+VLOOKUP(Ventas[[#This Row],[Codigo de Producto]],Productos[#All],4,FALSE),"")</f>
        <v>Madera Dinizia Oscuro</v>
      </c>
      <c r="G4078">
        <v>23</v>
      </c>
      <c r="H4078">
        <v>240</v>
      </c>
      <c r="I4078" s="57">
        <f>IF(Ventas[[#This Row],[Cantidad]]="","",+Ventas[[#This Row],[Cantidad]]*Ventas[[#This Row],[Precio]])</f>
        <v>5520</v>
      </c>
      <c r="J4078" s="57" t="str">
        <f>IFERROR(+VLOOKUP(Ventas[[#This Row],[Codigo de Producto]],Productos[#All],2,FALSE),"")</f>
        <v>Comasa</v>
      </c>
      <c r="K4078" s="57">
        <f>IFERROR(+VLOOKUP(Ventas[[#This Row],[Codigo de Producto]],Productos[#All],9,FALSE),"")</f>
        <v>212</v>
      </c>
      <c r="M4078" s="57">
        <f t="shared" si="1278"/>
        <v>4876</v>
      </c>
      <c r="N4078" s="57">
        <f t="shared" ref="N4078:N4081" si="1279">+IF(K4078=0,(""),(I4078-M4078))</f>
        <v>644</v>
      </c>
    </row>
    <row r="4079" spans="1:14" x14ac:dyDescent="0.25">
      <c r="A4079">
        <v>316</v>
      </c>
      <c r="B4079" s="1">
        <v>44161</v>
      </c>
      <c r="C4079" s="57" t="str">
        <f>IF(Ventas[[#This Row],[Fecha ]]="","",+TEXT(B4079,"mmmm"))</f>
        <v>noviembre</v>
      </c>
      <c r="D4079" s="57" t="str">
        <f>IFERROR(+VLOOKUP(Ventas[[#This Row],[Codigo de Producto]],Productos[#All],3,FALSE),"")</f>
        <v>Porcelana</v>
      </c>
      <c r="E4079" t="s">
        <v>727</v>
      </c>
      <c r="F4079" s="57" t="str">
        <f>IFERROR(+VLOOKUP(Ventas[[#This Row],[Codigo de Producto]],Productos[#All],4,FALSE),"")</f>
        <v>Naranja 3k</v>
      </c>
      <c r="G4079">
        <v>2</v>
      </c>
      <c r="H4079">
        <v>100</v>
      </c>
      <c r="I4079" s="57">
        <f>IF(Ventas[[#This Row],[Cantidad]]="","",+Ventas[[#This Row],[Cantidad]]*Ventas[[#This Row],[Precio]])</f>
        <v>200</v>
      </c>
      <c r="J4079" s="57" t="str">
        <f>IFERROR(+VLOOKUP(Ventas[[#This Row],[Codigo de Producto]],Productos[#All],2,FALSE),"")</f>
        <v>Comasa</v>
      </c>
      <c r="K4079" s="57">
        <f>IFERROR(+VLOOKUP(Ventas[[#This Row],[Codigo de Producto]],Productos[#All],9,FALSE),"")</f>
        <v>80</v>
      </c>
      <c r="M4079" s="57">
        <f t="shared" si="1278"/>
        <v>160</v>
      </c>
      <c r="N4079" s="57">
        <f t="shared" si="1279"/>
        <v>40</v>
      </c>
    </row>
    <row r="4080" spans="1:14" x14ac:dyDescent="0.25">
      <c r="A4080">
        <v>317</v>
      </c>
      <c r="B4080" s="1">
        <v>44161</v>
      </c>
      <c r="C4080" s="57" t="str">
        <f>IF(Ventas[[#This Row],[Fecha ]]="","",+TEXT(B4080,"mmmm"))</f>
        <v>noviembre</v>
      </c>
      <c r="D4080" s="57" t="str">
        <f>IFERROR(+VLOOKUP(Ventas[[#This Row],[Codigo de Producto]],Productos[#All],3,FALSE),"")</f>
        <v>Separadores</v>
      </c>
      <c r="E4080" t="s">
        <v>720</v>
      </c>
      <c r="F4080" s="57" t="str">
        <f>IFERROR(+VLOOKUP(Ventas[[#This Row],[Codigo de Producto]],Productos[#All],4,FALSE),"")</f>
        <v>Separadores de 3 mm</v>
      </c>
      <c r="G4080">
        <v>1</v>
      </c>
      <c r="H4080">
        <v>35</v>
      </c>
      <c r="I4080" s="57">
        <f>IF(Ventas[[#This Row],[Cantidad]]="","",+Ventas[[#This Row],[Cantidad]]*Ventas[[#This Row],[Precio]])</f>
        <v>35</v>
      </c>
      <c r="J4080" s="57" t="str">
        <f>IFERROR(+VLOOKUP(Ventas[[#This Row],[Codigo de Producto]],Productos[#All],2,FALSE),"")</f>
        <v>Silco</v>
      </c>
      <c r="K4080" s="57">
        <f>IFERROR(+VLOOKUP(Ventas[[#This Row],[Codigo de Producto]],Productos[#All],9,FALSE),"")</f>
        <v>26</v>
      </c>
      <c r="M4080" s="57">
        <f t="shared" si="1278"/>
        <v>26</v>
      </c>
      <c r="N4080" s="57">
        <f t="shared" si="1279"/>
        <v>9</v>
      </c>
    </row>
    <row r="4081" spans="1:14" x14ac:dyDescent="0.25">
      <c r="A4081">
        <v>318</v>
      </c>
      <c r="B4081" s="1">
        <v>44161</v>
      </c>
      <c r="C4081" s="57" t="str">
        <f>IF(Ventas[[#This Row],[Fecha ]]="","",+TEXT(B4081,"mmmm"))</f>
        <v>noviembre</v>
      </c>
      <c r="D4081" s="57" t="str">
        <f>IFERROR(+VLOOKUP(Ventas[[#This Row],[Codigo de Producto]],Productos[#All],3,FALSE),"")</f>
        <v>Azulejos</v>
      </c>
      <c r="E4081" t="s">
        <v>701</v>
      </c>
      <c r="F4081" s="57" t="str">
        <f>IFERROR(+VLOOKUP(Ventas[[#This Row],[Codigo de Producto]],Productos[#All],4,FALSE),"")</f>
        <v>Nova Blanco Cocina</v>
      </c>
      <c r="G4081">
        <v>2</v>
      </c>
      <c r="H4081">
        <v>270</v>
      </c>
      <c r="I4081" s="57">
        <f>IF(Ventas[[#This Row],[Cantidad]]="","",+Ventas[[#This Row],[Cantidad]]*Ventas[[#This Row],[Precio]])</f>
        <v>540</v>
      </c>
      <c r="J4081" s="57" t="str">
        <f>IFERROR(+VLOOKUP(Ventas[[#This Row],[Codigo de Producto]],Productos[#All],2,FALSE),"")</f>
        <v>Dispiasa</v>
      </c>
      <c r="K4081" s="57">
        <f>IFERROR(+VLOOKUP(Ventas[[#This Row],[Codigo de Producto]],Productos[#All],9,FALSE),"")</f>
        <v>207</v>
      </c>
      <c r="M4081" s="57">
        <f t="shared" si="1278"/>
        <v>414</v>
      </c>
      <c r="N4081" s="57">
        <f t="shared" si="1279"/>
        <v>126</v>
      </c>
    </row>
    <row r="4082" spans="1:14" x14ac:dyDescent="0.25">
      <c r="A4082">
        <v>319</v>
      </c>
      <c r="B4082" s="1">
        <v>44162</v>
      </c>
      <c r="C4082" s="57" t="str">
        <f>IF(Ventas[[#This Row],[Fecha ]]="","",+TEXT(B4082,"mmmm"))</f>
        <v>noviembre</v>
      </c>
      <c r="D4082" s="57" t="str">
        <f>IFERROR(+VLOOKUP(Ventas[[#This Row],[Codigo de Producto]],Productos[#All],3,FALSE),"")</f>
        <v>Azulejos</v>
      </c>
      <c r="E4082" t="s">
        <v>639</v>
      </c>
      <c r="F4082" s="57" t="str">
        <f>IFERROR(+VLOOKUP(Ventas[[#This Row],[Codigo de Producto]],Productos[#All],4,FALSE),"")</f>
        <v>Calpe Visón</v>
      </c>
      <c r="G4082">
        <f>4/17</f>
        <v>0.23529411764705882</v>
      </c>
      <c r="H4082">
        <v>300</v>
      </c>
      <c r="I4082" s="57">
        <f>IF(Ventas[[#This Row],[Cantidad]]="","",+Ventas[[#This Row],[Cantidad]]*Ventas[[#This Row],[Precio]])</f>
        <v>70.588235294117652</v>
      </c>
      <c r="J4082" s="57" t="str">
        <f>IFERROR(+VLOOKUP(Ventas[[#This Row],[Codigo de Producto]],Productos[#All],2,FALSE),"")</f>
        <v>Dispiasa</v>
      </c>
      <c r="K4082" s="57">
        <f>IFERROR(+VLOOKUP(Ventas[[#This Row],[Codigo de Producto]],Productos[#All],9,FALSE),"")</f>
        <v>268</v>
      </c>
      <c r="M4082" s="57">
        <f t="shared" si="1278"/>
        <v>63.058823529411761</v>
      </c>
      <c r="N4082" s="57">
        <f t="shared" ref="N4082:N4121" si="1280">+IF(K4082=0,(""),(I4082-M4082))</f>
        <v>7.5294117647058911</v>
      </c>
    </row>
    <row r="4083" spans="1:14" x14ac:dyDescent="0.25">
      <c r="A4083">
        <v>320</v>
      </c>
      <c r="B4083" s="1">
        <v>44162</v>
      </c>
      <c r="C4083" s="57" t="str">
        <f>IF(Ventas[[#This Row],[Fecha ]]="","",+TEXT(B4083,"mmmm"))</f>
        <v>noviembre</v>
      </c>
      <c r="D4083" s="57" t="str">
        <f>IFERROR(+VLOOKUP(Ventas[[#This Row],[Codigo de Producto]],Productos[#All],3,FALSE),"")</f>
        <v>Listelo</v>
      </c>
      <c r="E4083" t="s">
        <v>840</v>
      </c>
      <c r="F4083" s="57" t="str">
        <f>IFERROR(+VLOOKUP(Ventas[[#This Row],[Codigo de Producto]],Productos[#All],4,FALSE),"")</f>
        <v>Romance Azul</v>
      </c>
      <c r="G4083">
        <v>4</v>
      </c>
      <c r="H4083">
        <v>75</v>
      </c>
      <c r="I4083" s="57">
        <f>IF(Ventas[[#This Row],[Cantidad]]="","",+Ventas[[#This Row],[Cantidad]]*Ventas[[#This Row],[Precio]])</f>
        <v>300</v>
      </c>
      <c r="J4083" s="57" t="str">
        <f>IFERROR(+VLOOKUP(Ventas[[#This Row],[Codigo de Producto]],Productos[#All],2,FALSE),"")</f>
        <v>Comasa</v>
      </c>
      <c r="K4083" s="57">
        <f>IFERROR(+VLOOKUP(Ventas[[#This Row],[Codigo de Producto]],Productos[#All],9,FALSE),"")</f>
        <v>54</v>
      </c>
      <c r="M4083" s="57">
        <f t="shared" si="1278"/>
        <v>216</v>
      </c>
      <c r="N4083" s="57">
        <f t="shared" si="1280"/>
        <v>84</v>
      </c>
    </row>
    <row r="4084" spans="1:14" x14ac:dyDescent="0.25">
      <c r="A4084">
        <v>321</v>
      </c>
      <c r="B4084" s="1">
        <v>44162</v>
      </c>
      <c r="C4084" s="57" t="str">
        <f>IF(Ventas[[#This Row],[Fecha ]]="","",+TEXT(B4084,"mmmm"))</f>
        <v>noviembre</v>
      </c>
      <c r="D4084" s="57" t="str">
        <f>IFERROR(+VLOOKUP(Ventas[[#This Row],[Codigo de Producto]],Productos[#All],3,FALSE),"")</f>
        <v>Cerámica</v>
      </c>
      <c r="E4084" t="s">
        <v>645</v>
      </c>
      <c r="F4084" s="57" t="str">
        <f>IFERROR(+VLOOKUP(Ventas[[#This Row],[Codigo de Producto]],Productos[#All],4,FALSE),"")</f>
        <v>822 Roble</v>
      </c>
      <c r="G4084">
        <v>7</v>
      </c>
      <c r="H4084">
        <v>240</v>
      </c>
      <c r="I4084" s="57">
        <f>IF(Ventas[[#This Row],[Cantidad]]="","",+Ventas[[#This Row],[Cantidad]]*Ventas[[#This Row],[Precio]])</f>
        <v>1680</v>
      </c>
      <c r="J4084" s="57" t="str">
        <f>IFERROR(+VLOOKUP(Ventas[[#This Row],[Codigo de Producto]],Productos[#All],2,FALSE),"")</f>
        <v>Dispiasa</v>
      </c>
      <c r="K4084" s="57">
        <f>IFERROR(+VLOOKUP(Ventas[[#This Row],[Codigo de Producto]],Productos[#All],9,FALSE),"")</f>
        <v>207</v>
      </c>
      <c r="M4084" s="57">
        <f t="shared" si="1278"/>
        <v>1449</v>
      </c>
      <c r="N4084" s="57">
        <f t="shared" si="1280"/>
        <v>231</v>
      </c>
    </row>
    <row r="4085" spans="1:14" x14ac:dyDescent="0.25">
      <c r="A4085">
        <v>322</v>
      </c>
      <c r="B4085" s="1">
        <v>44162</v>
      </c>
      <c r="C4085" s="57" t="str">
        <f>IF(Ventas[[#This Row],[Fecha ]]="","",+TEXT(B4085,"mmmm"))</f>
        <v>noviembre</v>
      </c>
      <c r="D4085" s="57" t="str">
        <f>IFERROR(+VLOOKUP(Ventas[[#This Row],[Codigo de Producto]],Productos[#All],3,FALSE),"")</f>
        <v>Cerámica</v>
      </c>
      <c r="E4085" t="s">
        <v>646</v>
      </c>
      <c r="F4085" s="57" t="str">
        <f>IFERROR(+VLOOKUP(Ventas[[#This Row],[Codigo de Producto]],Productos[#All],4,FALSE),"")</f>
        <v>Zacatepec Marrón</v>
      </c>
      <c r="G4085">
        <v>1.26</v>
      </c>
      <c r="H4085">
        <v>250</v>
      </c>
      <c r="I4085" s="57">
        <f>IF(Ventas[[#This Row],[Cantidad]]="","",+Ventas[[#This Row],[Cantidad]]*Ventas[[#This Row],[Precio]])</f>
        <v>315</v>
      </c>
      <c r="J4085" s="57" t="str">
        <f>IFERROR(+VLOOKUP(Ventas[[#This Row],[Codigo de Producto]],Productos[#All],2,FALSE),"")</f>
        <v>Dispiasa</v>
      </c>
      <c r="K4085" s="57">
        <f>IFERROR(+VLOOKUP(Ventas[[#This Row],[Codigo de Producto]],Productos[#All],9,FALSE),"")</f>
        <v>219</v>
      </c>
      <c r="M4085" s="57">
        <f t="shared" si="1278"/>
        <v>275.94</v>
      </c>
      <c r="N4085" s="57">
        <f t="shared" si="1280"/>
        <v>39.06</v>
      </c>
    </row>
    <row r="4086" spans="1:14" x14ac:dyDescent="0.25">
      <c r="A4086">
        <v>323</v>
      </c>
      <c r="B4086" s="1">
        <v>44162</v>
      </c>
      <c r="C4086" s="57" t="str">
        <f>IF(Ventas[[#This Row],[Fecha ]]="","",+TEXT(B4086,"mmmm"))</f>
        <v>noviembre</v>
      </c>
      <c r="D4086" s="57" t="str">
        <f>IFERROR(+VLOOKUP(Ventas[[#This Row],[Codigo de Producto]],Productos[#All],3,FALSE),"")</f>
        <v>Azulejos</v>
      </c>
      <c r="E4086" t="s">
        <v>870</v>
      </c>
      <c r="F4086" s="57" t="str">
        <f>IFERROR(+VLOOKUP(Ventas[[#This Row],[Codigo de Producto]],Productos[#All],4,FALSE),"")</f>
        <v>Andes Plus Blanco</v>
      </c>
      <c r="G4086">
        <v>1.8</v>
      </c>
      <c r="H4086">
        <v>300</v>
      </c>
      <c r="I4086" s="57">
        <f>IF(Ventas[[#This Row],[Cantidad]]="","",+Ventas[[#This Row],[Cantidad]]*Ventas[[#This Row],[Precio]])</f>
        <v>540</v>
      </c>
      <c r="J4086" s="57" t="str">
        <f>IFERROR(+VLOOKUP(Ventas[[#This Row],[Codigo de Producto]],Productos[#All],2,FALSE),"")</f>
        <v>Comasa</v>
      </c>
      <c r="K4086" s="57">
        <f ca="1">IFERROR(+VLOOKUP(Ventas[[#This Row],[Codigo de Producto]],Productos[#All],9,FALSE),"")</f>
        <v>272</v>
      </c>
      <c r="M4086" s="57">
        <f t="shared" ca="1" si="1278"/>
        <v>489.6</v>
      </c>
      <c r="N4086" s="57">
        <f t="shared" ca="1" si="1280"/>
        <v>50.399999999999977</v>
      </c>
    </row>
    <row r="4087" spans="1:14" x14ac:dyDescent="0.25">
      <c r="A4087">
        <v>324</v>
      </c>
      <c r="B4087" s="1">
        <v>44162</v>
      </c>
      <c r="C4087" s="57" t="str">
        <f>IF(Ventas[[#This Row],[Fecha ]]="","",+TEXT(B4087,"mmmm"))</f>
        <v>noviembre</v>
      </c>
      <c r="D4087" s="57" t="str">
        <f>IFERROR(+VLOOKUP(Ventas[[#This Row],[Codigo de Producto]],Productos[#All],3,FALSE),"")</f>
        <v>Porcelana</v>
      </c>
      <c r="E4087" t="s">
        <v>708</v>
      </c>
      <c r="F4087" s="57" t="str">
        <f>IFERROR(+VLOOKUP(Ventas[[#This Row],[Codigo de Producto]],Productos[#All],4,FALSE),"")</f>
        <v xml:space="preserve">Porcelana Maya </v>
      </c>
      <c r="G4087">
        <v>2</v>
      </c>
      <c r="H4087">
        <v>60</v>
      </c>
      <c r="I4087" s="57">
        <f>IF(Ventas[[#This Row],[Cantidad]]="","",+Ventas[[#This Row],[Cantidad]]*Ventas[[#This Row],[Precio]])</f>
        <v>120</v>
      </c>
      <c r="J4087" s="57" t="str">
        <f>IFERROR(+VLOOKUP(Ventas[[#This Row],[Codigo de Producto]],Productos[#All],2,FALSE),"")</f>
        <v>Martinez</v>
      </c>
      <c r="K4087" s="57">
        <f>IFERROR(+VLOOKUP(Ventas[[#This Row],[Codigo de Producto]],Productos[#All],9,FALSE),"")</f>
        <v>33.333333333333336</v>
      </c>
      <c r="M4087" s="57">
        <f t="shared" si="1278"/>
        <v>66.666666666666671</v>
      </c>
      <c r="N4087" s="57">
        <f t="shared" si="1280"/>
        <v>53.333333333333329</v>
      </c>
    </row>
    <row r="4088" spans="1:14" x14ac:dyDescent="0.25">
      <c r="A4088">
        <v>325</v>
      </c>
      <c r="B4088" s="1">
        <v>44162</v>
      </c>
      <c r="C4088" s="57" t="str">
        <f>IF(Ventas[[#This Row],[Fecha ]]="","",+TEXT(B4088,"mmmm"))</f>
        <v>noviembre</v>
      </c>
      <c r="D4088" s="57" t="str">
        <f>IFERROR(+VLOOKUP(Ventas[[#This Row],[Codigo de Producto]],Productos[#All],3,FALSE),"")</f>
        <v>Bond</v>
      </c>
      <c r="E4088" t="s">
        <v>704</v>
      </c>
      <c r="F4088" s="57" t="str">
        <f>IFERROR(+VLOOKUP(Ventas[[#This Row],[Codigo de Producto]],Productos[#All],4,FALSE),"")</f>
        <v>Drytec Bond Plus</v>
      </c>
      <c r="G4088">
        <v>4</v>
      </c>
      <c r="H4088">
        <v>155</v>
      </c>
      <c r="I4088" s="57">
        <f>IF(Ventas[[#This Row],[Cantidad]]="","",+Ventas[[#This Row],[Cantidad]]*Ventas[[#This Row],[Precio]])</f>
        <v>620</v>
      </c>
      <c r="J4088" s="57" t="str">
        <f>IFERROR(+VLOOKUP(Ventas[[#This Row],[Codigo de Producto]],Productos[#All],2,FALSE),"")</f>
        <v>Comasa</v>
      </c>
      <c r="K4088" s="57">
        <f>IFERROR(+VLOOKUP(Ventas[[#This Row],[Codigo de Producto]],Productos[#All],9,FALSE),"")</f>
        <v>127</v>
      </c>
      <c r="M4088" s="57">
        <f t="shared" si="1278"/>
        <v>508</v>
      </c>
      <c r="N4088" s="57">
        <f t="shared" si="1280"/>
        <v>112</v>
      </c>
    </row>
    <row r="4089" spans="1:14" x14ac:dyDescent="0.25">
      <c r="A4089">
        <v>326</v>
      </c>
      <c r="B4089" s="1">
        <v>44162</v>
      </c>
      <c r="C4089" s="57" t="str">
        <f>IF(Ventas[[#This Row],[Fecha ]]="","",+TEXT(B4089,"mmmm"))</f>
        <v>noviembre</v>
      </c>
      <c r="D4089" s="57" t="str">
        <f>IFERROR(+VLOOKUP(Ventas[[#This Row],[Codigo de Producto]],Productos[#All],3,FALSE),"")</f>
        <v>Lavamano</v>
      </c>
      <c r="E4089" t="s">
        <v>620</v>
      </c>
      <c r="F4089" s="57" t="str">
        <f>IFERROR(+VLOOKUP(Ventas[[#This Row],[Codigo de Producto]],Productos[#All],4,FALSE),"")</f>
        <v>Lavamano Cato Blanco</v>
      </c>
      <c r="G4089">
        <v>1</v>
      </c>
      <c r="H4089">
        <v>1300</v>
      </c>
      <c r="I4089" s="57">
        <f>IF(Ventas[[#This Row],[Cantidad]]="","",+Ventas[[#This Row],[Cantidad]]*Ventas[[#This Row],[Precio]])</f>
        <v>1300</v>
      </c>
      <c r="J4089" s="57" t="str">
        <f>IFERROR(+VLOOKUP(Ventas[[#This Row],[Codigo de Producto]],Productos[#All],2,FALSE),"")</f>
        <v>Comasa</v>
      </c>
      <c r="K4089" s="57">
        <f>IFERROR(+VLOOKUP(Ventas[[#This Row],[Codigo de Producto]],Productos[#All],9,FALSE),"")</f>
        <v>500</v>
      </c>
      <c r="M4089" s="57">
        <f t="shared" si="1278"/>
        <v>500</v>
      </c>
      <c r="N4089" s="57">
        <f t="shared" si="1280"/>
        <v>800</v>
      </c>
    </row>
    <row r="4090" spans="1:14" x14ac:dyDescent="0.25">
      <c r="A4090">
        <v>327</v>
      </c>
      <c r="B4090" s="1">
        <v>44162</v>
      </c>
      <c r="C4090" s="57" t="str">
        <f>IF(Ventas[[#This Row],[Fecha ]]="","",+TEXT(B4090,"mmmm"))</f>
        <v>noviembre</v>
      </c>
      <c r="D4090" s="57" t="str">
        <f>IFERROR(+VLOOKUP(Ventas[[#This Row],[Codigo de Producto]],Productos[#All],3,FALSE),"")</f>
        <v>Lavamano</v>
      </c>
      <c r="E4090" t="s">
        <v>674</v>
      </c>
      <c r="F4090" s="57" t="str">
        <f>IFERROR(+VLOOKUP(Ventas[[#This Row],[Codigo de Producto]],Productos[#All],4,FALSE),"")</f>
        <v>Pedestal Cato Blanco</v>
      </c>
      <c r="G4090">
        <v>1</v>
      </c>
      <c r="H4090">
        <v>900</v>
      </c>
      <c r="I4090" s="57">
        <f>IF(Ventas[[#This Row],[Cantidad]]="","",+Ventas[[#This Row],[Cantidad]]*Ventas[[#This Row],[Precio]])</f>
        <v>900</v>
      </c>
      <c r="J4090" s="57" t="str">
        <f>IFERROR(+VLOOKUP(Ventas[[#This Row],[Codigo de Producto]],Productos[#All],2,FALSE),"")</f>
        <v>Comasa</v>
      </c>
      <c r="K4090" s="57">
        <f>IFERROR(+VLOOKUP(Ventas[[#This Row],[Codigo de Producto]],Productos[#All],9,FALSE),"")</f>
        <v>750</v>
      </c>
      <c r="M4090" s="57">
        <f t="shared" si="1278"/>
        <v>750</v>
      </c>
      <c r="N4090" s="57">
        <f t="shared" si="1280"/>
        <v>150</v>
      </c>
    </row>
    <row r="4091" spans="1:14" x14ac:dyDescent="0.25">
      <c r="A4091">
        <v>328</v>
      </c>
      <c r="B4091" s="1">
        <v>44162</v>
      </c>
      <c r="C4091" s="57" t="str">
        <f>IF(Ventas[[#This Row],[Fecha ]]="","",+TEXT(B4091,"mmmm"))</f>
        <v>noviembre</v>
      </c>
      <c r="D4091" s="57" t="str">
        <f>IFERROR(+VLOOKUP(Ventas[[#This Row],[Codigo de Producto]],Productos[#All],3,FALSE),"")</f>
        <v>Plasterbond</v>
      </c>
      <c r="E4091" t="s">
        <v>713</v>
      </c>
      <c r="F4091" s="57" t="str">
        <f>IFERROR(+VLOOKUP(Ventas[[#This Row],[Codigo de Producto]],Productos[#All],4,FALSE),"")</f>
        <v>Plasterbond Klebe</v>
      </c>
      <c r="G4091">
        <v>2</v>
      </c>
      <c r="H4091">
        <v>100</v>
      </c>
      <c r="I4091" s="57">
        <f>IF(Ventas[[#This Row],[Cantidad]]="","",+Ventas[[#This Row],[Cantidad]]*Ventas[[#This Row],[Precio]])</f>
        <v>200</v>
      </c>
      <c r="J4091" s="57" t="str">
        <f>IFERROR(+VLOOKUP(Ventas[[#This Row],[Codigo de Producto]],Productos[#All],2,FALSE),"")</f>
        <v>Aginsa</v>
      </c>
      <c r="K4091" s="57">
        <f>IFERROR(+VLOOKUP(Ventas[[#This Row],[Codigo de Producto]],Productos[#All],9,FALSE),"")</f>
        <v>80</v>
      </c>
      <c r="M4091" s="57">
        <f t="shared" si="1278"/>
        <v>160</v>
      </c>
      <c r="N4091" s="57">
        <f t="shared" si="1280"/>
        <v>40</v>
      </c>
    </row>
    <row r="4092" spans="1:14" x14ac:dyDescent="0.25">
      <c r="A4092">
        <v>329</v>
      </c>
      <c r="B4092" s="1">
        <v>44162</v>
      </c>
      <c r="C4092" s="57" t="str">
        <f>IF(Ventas[[#This Row],[Fecha ]]="","",+TEXT(B4092,"mmmm"))</f>
        <v>noviembre</v>
      </c>
      <c r="D4092" s="57" t="str">
        <f>IFERROR(+VLOOKUP(Ventas[[#This Row],[Codigo de Producto]],Productos[#All],3,FALSE),"")</f>
        <v>Cerámica</v>
      </c>
      <c r="E4092" t="s">
        <v>881</v>
      </c>
      <c r="F4092" s="57" t="str">
        <f>IFERROR(+VLOOKUP(Ventas[[#This Row],[Codigo de Producto]],Productos[#All],4,FALSE),"")</f>
        <v>Natal Marrón</v>
      </c>
      <c r="G4092">
        <v>15</v>
      </c>
      <c r="H4092">
        <v>240</v>
      </c>
      <c r="I4092" s="57">
        <f>IF(Ventas[[#This Row],[Cantidad]]="","",+Ventas[[#This Row],[Cantidad]]*Ventas[[#This Row],[Precio]])</f>
        <v>3600</v>
      </c>
      <c r="J4092" s="57" t="str">
        <f>IFERROR(+VLOOKUP(Ventas[[#This Row],[Codigo de Producto]],Productos[#All],2,FALSE),"")</f>
        <v>Dispiasa</v>
      </c>
      <c r="K4092" s="57">
        <f ca="1">IFERROR(+VLOOKUP(Ventas[[#This Row],[Codigo de Producto]],Productos[#All],9,FALSE),"")</f>
        <v>207</v>
      </c>
      <c r="M4092" s="57">
        <f t="shared" ca="1" si="1278"/>
        <v>3105</v>
      </c>
      <c r="N4092" s="57">
        <f t="shared" ca="1" si="1280"/>
        <v>495</v>
      </c>
    </row>
    <row r="4093" spans="1:14" x14ac:dyDescent="0.25">
      <c r="A4093">
        <v>330</v>
      </c>
      <c r="B4093" s="1">
        <v>44162</v>
      </c>
      <c r="C4093" s="57" t="str">
        <f>IF(Ventas[[#This Row],[Fecha ]]="","",+TEXT(B4093,"mmmm"))</f>
        <v>noviembre</v>
      </c>
      <c r="D4093" s="57" t="str">
        <f>IFERROR(+VLOOKUP(Ventas[[#This Row],[Codigo de Producto]],Productos[#All],3,FALSE),"")</f>
        <v>Otro</v>
      </c>
      <c r="E4093" t="s">
        <v>886</v>
      </c>
      <c r="F4093" s="57" t="str">
        <f>IFERROR(+VLOOKUP(Ventas[[#This Row],[Codigo de Producto]],Productos[#All],4,FALSE),"")</f>
        <v>Costrec</v>
      </c>
      <c r="G4093">
        <v>1</v>
      </c>
      <c r="H4093">
        <v>120</v>
      </c>
      <c r="I4093" s="57">
        <f>IF(Ventas[[#This Row],[Cantidad]]="","",+Ventas[[#This Row],[Cantidad]]*Ventas[[#This Row],[Precio]])</f>
        <v>120</v>
      </c>
      <c r="J4093" s="57" t="str">
        <f>IFERROR(+VLOOKUP(Ventas[[#This Row],[Codigo de Producto]],Productos[#All],2,FALSE),"")</f>
        <v>Rodriguez</v>
      </c>
      <c r="K4093" s="57">
        <f>IFERROR(+VLOOKUP(Ventas[[#This Row],[Codigo de Producto]],Productos[#All],9,FALSE),"")</f>
        <v>100</v>
      </c>
      <c r="M4093" s="57">
        <f t="shared" si="1278"/>
        <v>100</v>
      </c>
      <c r="N4093" s="57">
        <f t="shared" si="1280"/>
        <v>20</v>
      </c>
    </row>
    <row r="4094" spans="1:14" x14ac:dyDescent="0.25">
      <c r="A4094">
        <v>331</v>
      </c>
      <c r="B4094" s="1">
        <v>44162</v>
      </c>
      <c r="C4094" s="57" t="str">
        <f>IF(Ventas[[#This Row],[Fecha ]]="","",+TEXT(B4094,"mmmm"))</f>
        <v>noviembre</v>
      </c>
      <c r="D4094" s="57" t="str">
        <f>IFERROR(+VLOOKUP(Ventas[[#This Row],[Codigo de Producto]],Productos[#All],3,FALSE),"")</f>
        <v>Azulejos</v>
      </c>
      <c r="E4094" t="s">
        <v>870</v>
      </c>
      <c r="F4094" s="57" t="str">
        <f>IFERROR(+VLOOKUP(Ventas[[#This Row],[Codigo de Producto]],Productos[#All],4,FALSE),"")</f>
        <v>Andes Plus Blanco</v>
      </c>
      <c r="G4094">
        <v>2</v>
      </c>
      <c r="H4094">
        <v>300</v>
      </c>
      <c r="I4094" s="57">
        <f>IF(Ventas[[#This Row],[Cantidad]]="","",+Ventas[[#This Row],[Cantidad]]*Ventas[[#This Row],[Precio]])</f>
        <v>600</v>
      </c>
      <c r="J4094" s="57" t="str">
        <f>IFERROR(+VLOOKUP(Ventas[[#This Row],[Codigo de Producto]],Productos[#All],2,FALSE),"")</f>
        <v>Comasa</v>
      </c>
      <c r="K4094" s="57">
        <f ca="1">IFERROR(+VLOOKUP(Ventas[[#This Row],[Codigo de Producto]],Productos[#All],9,FALSE),"")</f>
        <v>272</v>
      </c>
      <c r="M4094" s="57">
        <f t="shared" ca="1" si="1278"/>
        <v>544</v>
      </c>
      <c r="N4094" s="57">
        <f t="shared" ca="1" si="1280"/>
        <v>56</v>
      </c>
    </row>
    <row r="4095" spans="1:14" x14ac:dyDescent="0.25">
      <c r="A4095">
        <v>332</v>
      </c>
      <c r="B4095" s="1">
        <v>44162</v>
      </c>
      <c r="C4095" s="57" t="str">
        <f>IF(Ventas[[#This Row],[Fecha ]]="","",+TEXT(B4095,"mmmm"))</f>
        <v>noviembre</v>
      </c>
      <c r="D4095" s="57" t="str">
        <f>IFERROR(+VLOOKUP(Ventas[[#This Row],[Codigo de Producto]],Productos[#All],3,FALSE),"")</f>
        <v>Azulejos</v>
      </c>
      <c r="E4095" t="s">
        <v>742</v>
      </c>
      <c r="F4095" s="57" t="str">
        <f>IFERROR(+VLOOKUP(Ventas[[#This Row],[Codigo de Producto]],Productos[#All],4,FALSE),"")</f>
        <v>Palenque Azul Liso</v>
      </c>
      <c r="G4095">
        <f>20/16</f>
        <v>1.25</v>
      </c>
      <c r="H4095">
        <v>290</v>
      </c>
      <c r="I4095" s="57">
        <f>IF(Ventas[[#This Row],[Cantidad]]="","",+Ventas[[#This Row],[Cantidad]]*Ventas[[#This Row],[Precio]])</f>
        <v>362.5</v>
      </c>
      <c r="J4095" s="57" t="str">
        <f>IFERROR(+VLOOKUP(Ventas[[#This Row],[Codigo de Producto]],Productos[#All],2,FALSE),"")</f>
        <v>Dispiasa</v>
      </c>
      <c r="K4095" s="57">
        <f>IFERROR(+VLOOKUP(Ventas[[#This Row],[Codigo de Producto]],Productos[#All],9,FALSE),"")</f>
        <v>256</v>
      </c>
      <c r="M4095" s="57">
        <f t="shared" si="1278"/>
        <v>320</v>
      </c>
      <c r="N4095" s="57">
        <f t="shared" si="1280"/>
        <v>42.5</v>
      </c>
    </row>
    <row r="4096" spans="1:14" x14ac:dyDescent="0.25">
      <c r="A4096">
        <v>333</v>
      </c>
      <c r="B4096" s="1">
        <v>44162</v>
      </c>
      <c r="C4096" s="57" t="str">
        <f>IF(Ventas[[#This Row],[Fecha ]]="","",+TEXT(B4096,"mmmm"))</f>
        <v>noviembre</v>
      </c>
      <c r="D4096" s="57" t="str">
        <f>IFERROR(+VLOOKUP(Ventas[[#This Row],[Codigo de Producto]],Productos[#All],3,FALSE),"")</f>
        <v>Porcelana</v>
      </c>
      <c r="E4096" t="s">
        <v>708</v>
      </c>
      <c r="F4096" s="57" t="str">
        <f>IFERROR(+VLOOKUP(Ventas[[#This Row],[Codigo de Producto]],Productos[#All],4,FALSE),"")</f>
        <v xml:space="preserve">Porcelana Maya </v>
      </c>
      <c r="G4096">
        <v>1</v>
      </c>
      <c r="H4096">
        <v>60</v>
      </c>
      <c r="I4096" s="57">
        <f>IF(Ventas[[#This Row],[Cantidad]]="","",+Ventas[[#This Row],[Cantidad]]*Ventas[[#This Row],[Precio]])</f>
        <v>60</v>
      </c>
      <c r="J4096" s="57" t="str">
        <f>IFERROR(+VLOOKUP(Ventas[[#This Row],[Codigo de Producto]],Productos[#All],2,FALSE),"")</f>
        <v>Martinez</v>
      </c>
      <c r="K4096" s="57">
        <f>IFERROR(+VLOOKUP(Ventas[[#This Row],[Codigo de Producto]],Productos[#All],9,FALSE),"")</f>
        <v>33.333333333333336</v>
      </c>
      <c r="M4096" s="57">
        <f t="shared" si="1278"/>
        <v>33.333333333333336</v>
      </c>
      <c r="N4096" s="57">
        <f t="shared" si="1280"/>
        <v>26.666666666666664</v>
      </c>
    </row>
    <row r="4097" spans="1:14" x14ac:dyDescent="0.25">
      <c r="A4097">
        <v>334</v>
      </c>
      <c r="B4097" s="1">
        <v>44162</v>
      </c>
      <c r="C4097" s="57" t="str">
        <f>IF(Ventas[[#This Row],[Fecha ]]="","",+TEXT(B4097,"mmmm"))</f>
        <v>noviembre</v>
      </c>
      <c r="D4097" s="57" t="str">
        <f>IFERROR(+VLOOKUP(Ventas[[#This Row],[Codigo de Producto]],Productos[#All],3,FALSE),"")</f>
        <v>Repello</v>
      </c>
      <c r="E4097" t="s">
        <v>728</v>
      </c>
      <c r="F4097" s="57" t="str">
        <f>IFERROR(+VLOOKUP(Ventas[[#This Row],[Codigo de Producto]],Productos[#All],4,FALSE),"")</f>
        <v>Repello Fino Drytec</v>
      </c>
      <c r="G4097">
        <v>1</v>
      </c>
      <c r="H4097">
        <v>250</v>
      </c>
      <c r="I4097" s="57">
        <f>IF(Ventas[[#This Row],[Cantidad]]="","",+Ventas[[#This Row],[Cantidad]]*Ventas[[#This Row],[Precio]])</f>
        <v>250</v>
      </c>
      <c r="J4097" s="57" t="str">
        <f>IFERROR(+VLOOKUP(Ventas[[#This Row],[Codigo de Producto]],Productos[#All],2,FALSE),"")</f>
        <v>Comasa</v>
      </c>
      <c r="K4097" s="57">
        <f ca="1">IFERROR(+VLOOKUP(Ventas[[#This Row],[Codigo de Producto]],Productos[#All],9,FALSE),"")</f>
        <v>236</v>
      </c>
      <c r="M4097" s="57">
        <f t="shared" ca="1" si="1278"/>
        <v>236</v>
      </c>
      <c r="N4097" s="57">
        <f t="shared" ca="1" si="1280"/>
        <v>14</v>
      </c>
    </row>
    <row r="4098" spans="1:14" x14ac:dyDescent="0.25">
      <c r="A4098">
        <v>335</v>
      </c>
      <c r="B4098" s="1">
        <v>44162</v>
      </c>
      <c r="C4098" s="57" t="str">
        <f>IF(Ventas[[#This Row],[Fecha ]]="","",+TEXT(B4098,"mmmm"))</f>
        <v>noviembre</v>
      </c>
      <c r="D4098" s="57" t="str">
        <f>IFERROR(+VLOOKUP(Ventas[[#This Row],[Codigo de Producto]],Productos[#All],3,FALSE),"")</f>
        <v>Listelo</v>
      </c>
      <c r="E4098" t="s">
        <v>840</v>
      </c>
      <c r="F4098" s="57" t="str">
        <f>IFERROR(+VLOOKUP(Ventas[[#This Row],[Codigo de Producto]],Productos[#All],4,FALSE),"")</f>
        <v>Romance Azul</v>
      </c>
      <c r="G4098">
        <v>5</v>
      </c>
      <c r="H4098">
        <v>75</v>
      </c>
      <c r="I4098" s="57">
        <f>IF(Ventas[[#This Row],[Cantidad]]="","",+Ventas[[#This Row],[Cantidad]]*Ventas[[#This Row],[Precio]])</f>
        <v>375</v>
      </c>
      <c r="J4098" s="57" t="str">
        <f>IFERROR(+VLOOKUP(Ventas[[#This Row],[Codigo de Producto]],Productos[#All],2,FALSE),"")</f>
        <v>Comasa</v>
      </c>
      <c r="K4098" s="57">
        <f>IFERROR(+VLOOKUP(Ventas[[#This Row],[Codigo de Producto]],Productos[#All],9,FALSE),"")</f>
        <v>54</v>
      </c>
      <c r="M4098" s="57">
        <f t="shared" si="1278"/>
        <v>270</v>
      </c>
      <c r="N4098" s="57">
        <f t="shared" si="1280"/>
        <v>105</v>
      </c>
    </row>
    <row r="4099" spans="1:14" x14ac:dyDescent="0.25">
      <c r="A4099">
        <v>336</v>
      </c>
      <c r="B4099" s="1">
        <v>44162</v>
      </c>
      <c r="C4099" s="57" t="str">
        <f>IF(Ventas[[#This Row],[Fecha ]]="","",+TEXT(B4099,"mmmm"))</f>
        <v>noviembre</v>
      </c>
      <c r="D4099" s="57" t="str">
        <f>IFERROR(+VLOOKUP(Ventas[[#This Row],[Codigo de Producto]],Productos[#All],3,FALSE),"")</f>
        <v>Cerámica</v>
      </c>
      <c r="E4099" t="s">
        <v>661</v>
      </c>
      <c r="F4099" s="57" t="str">
        <f>IFERROR(+VLOOKUP(Ventas[[#This Row],[Codigo de Producto]],Productos[#All],4,FALSE),"")</f>
        <v>Mosaico Rosa</v>
      </c>
      <c r="G4099">
        <v>2</v>
      </c>
      <c r="H4099">
        <v>300</v>
      </c>
      <c r="I4099" s="57">
        <f>IF(Ventas[[#This Row],[Cantidad]]="","",+Ventas[[#This Row],[Cantidad]]*Ventas[[#This Row],[Precio]])</f>
        <v>600</v>
      </c>
      <c r="J4099" s="57" t="str">
        <f>IFERROR(+VLOOKUP(Ventas[[#This Row],[Codigo de Producto]],Productos[#All],2,FALSE),"")</f>
        <v>Dispiasa</v>
      </c>
      <c r="K4099" s="57">
        <f>IFERROR(+VLOOKUP(Ventas[[#This Row],[Codigo de Producto]],Productos[#All],9,FALSE),"")</f>
        <v>268</v>
      </c>
      <c r="M4099" s="57">
        <f t="shared" si="1278"/>
        <v>536</v>
      </c>
      <c r="N4099" s="57">
        <f t="shared" si="1280"/>
        <v>64</v>
      </c>
    </row>
    <row r="4100" spans="1:14" x14ac:dyDescent="0.25">
      <c r="A4100">
        <v>337</v>
      </c>
      <c r="B4100" s="1">
        <v>44162</v>
      </c>
      <c r="C4100" s="57" t="str">
        <f>IF(Ventas[[#This Row],[Fecha ]]="","",+TEXT(B4100,"mmmm"))</f>
        <v>noviembre</v>
      </c>
      <c r="D4100" s="57" t="str">
        <f>IFERROR(+VLOOKUP(Ventas[[#This Row],[Codigo de Producto]],Productos[#All],3,FALSE),"")</f>
        <v>Plasterbond</v>
      </c>
      <c r="E4100" t="s">
        <v>713</v>
      </c>
      <c r="F4100" s="57" t="str">
        <f>IFERROR(+VLOOKUP(Ventas[[#This Row],[Codigo de Producto]],Productos[#All],4,FALSE),"")</f>
        <v>Plasterbond Klebe</v>
      </c>
      <c r="G4100">
        <v>0.5</v>
      </c>
      <c r="H4100">
        <v>100</v>
      </c>
      <c r="I4100" s="57">
        <f>IF(Ventas[[#This Row],[Cantidad]]="","",+Ventas[[#This Row],[Cantidad]]*Ventas[[#This Row],[Precio]])</f>
        <v>50</v>
      </c>
      <c r="J4100" s="57" t="str">
        <f>IFERROR(+VLOOKUP(Ventas[[#This Row],[Codigo de Producto]],Productos[#All],2,FALSE),"")</f>
        <v>Aginsa</v>
      </c>
      <c r="K4100" s="57">
        <f>IFERROR(+VLOOKUP(Ventas[[#This Row],[Codigo de Producto]],Productos[#All],9,FALSE),"")</f>
        <v>80</v>
      </c>
      <c r="M4100" s="57">
        <f t="shared" si="1278"/>
        <v>40</v>
      </c>
      <c r="N4100" s="57">
        <f t="shared" si="1280"/>
        <v>10</v>
      </c>
    </row>
    <row r="4101" spans="1:14" x14ac:dyDescent="0.25">
      <c r="A4101">
        <v>338</v>
      </c>
      <c r="B4101" s="1">
        <v>44162</v>
      </c>
      <c r="C4101" s="57" t="str">
        <f>IF(Ventas[[#This Row],[Fecha ]]="","",+TEXT(B4101,"mmmm"))</f>
        <v>noviembre</v>
      </c>
      <c r="D4101" s="57" t="str">
        <f>IFERROR(+VLOOKUP(Ventas[[#This Row],[Codigo de Producto]],Productos[#All],3,FALSE),"")</f>
        <v>Fachaleta</v>
      </c>
      <c r="E4101" t="s">
        <v>666</v>
      </c>
      <c r="F4101" s="57" t="str">
        <f>IFERROR(+VLOOKUP(Ventas[[#This Row],[Codigo de Producto]],Productos[#All],4,FALSE),"")</f>
        <v>Alabastro Rodeno</v>
      </c>
      <c r="G4101">
        <v>10</v>
      </c>
      <c r="H4101">
        <v>420</v>
      </c>
      <c r="I4101" s="57">
        <f>IF(Ventas[[#This Row],[Cantidad]]="","",+Ventas[[#This Row],[Cantidad]]*Ventas[[#This Row],[Precio]])</f>
        <v>4200</v>
      </c>
      <c r="J4101" s="57" t="str">
        <f>IFERROR(+VLOOKUP(Ventas[[#This Row],[Codigo de Producto]],Productos[#All],2,FALSE),"")</f>
        <v>Dispiasa</v>
      </c>
      <c r="K4101" s="57">
        <f>IFERROR(+VLOOKUP(Ventas[[#This Row],[Codigo de Producto]],Productos[#All],9,FALSE),"")</f>
        <v>332</v>
      </c>
      <c r="M4101" s="57">
        <f t="shared" si="1278"/>
        <v>3320</v>
      </c>
      <c r="N4101" s="57">
        <f t="shared" si="1280"/>
        <v>880</v>
      </c>
    </row>
    <row r="4102" spans="1:14" x14ac:dyDescent="0.25">
      <c r="A4102">
        <v>339</v>
      </c>
      <c r="B4102" s="1">
        <v>44162</v>
      </c>
      <c r="C4102" s="57" t="str">
        <f>IF(Ventas[[#This Row],[Fecha ]]="","",+TEXT(B4102,"mmmm"))</f>
        <v>noviembre</v>
      </c>
      <c r="D4102" s="57" t="str">
        <f>IFERROR(+VLOOKUP(Ventas[[#This Row],[Codigo de Producto]],Productos[#All],3,FALSE),"")</f>
        <v>Cerámica</v>
      </c>
      <c r="E4102" t="s">
        <v>693</v>
      </c>
      <c r="F4102" s="57" t="str">
        <f>IFERROR(+VLOOKUP(Ventas[[#This Row],[Codigo de Producto]],Productos[#All],4,FALSE),"")</f>
        <v>Madera Dinizia Claro</v>
      </c>
      <c r="G4102">
        <v>11</v>
      </c>
      <c r="H4102">
        <v>240</v>
      </c>
      <c r="I4102" s="57">
        <f>IF(Ventas[[#This Row],[Cantidad]]="","",+Ventas[[#This Row],[Cantidad]]*Ventas[[#This Row],[Precio]])</f>
        <v>2640</v>
      </c>
      <c r="J4102" s="57" t="str">
        <f>IFERROR(+VLOOKUP(Ventas[[#This Row],[Codigo de Producto]],Productos[#All],2,FALSE),"")</f>
        <v>Comasa</v>
      </c>
      <c r="K4102" s="57">
        <f>IFERROR(+VLOOKUP(Ventas[[#This Row],[Codigo de Producto]],Productos[#All],9,FALSE),"")</f>
        <v>212</v>
      </c>
      <c r="M4102" s="57">
        <f t="shared" si="1278"/>
        <v>2332</v>
      </c>
      <c r="N4102" s="57">
        <f t="shared" si="1280"/>
        <v>308</v>
      </c>
    </row>
    <row r="4103" spans="1:14" x14ac:dyDescent="0.25">
      <c r="A4103">
        <v>340</v>
      </c>
      <c r="B4103" s="1">
        <v>44162</v>
      </c>
      <c r="C4103" s="57" t="str">
        <f>IF(Ventas[[#This Row],[Fecha ]]="","",+TEXT(B4103,"mmmm"))</f>
        <v>noviembre</v>
      </c>
      <c r="D4103" s="57" t="str">
        <f>IFERROR(+VLOOKUP(Ventas[[#This Row],[Codigo de Producto]],Productos[#All],3,FALSE),"")</f>
        <v>Bond</v>
      </c>
      <c r="E4103" t="s">
        <v>888</v>
      </c>
      <c r="F4103" s="57" t="str">
        <f>IFERROR(+VLOOKUP(Ventas[[#This Row],[Codigo de Producto]],Productos[#All],4,FALSE),"")</f>
        <v>Diamond Bond Plus</v>
      </c>
      <c r="G4103">
        <v>2</v>
      </c>
      <c r="H4103">
        <v>120</v>
      </c>
      <c r="I4103" s="57">
        <f>IF(Ventas[[#This Row],[Cantidad]]="","",+Ventas[[#This Row],[Cantidad]]*Ventas[[#This Row],[Precio]])</f>
        <v>240</v>
      </c>
      <c r="J4103" s="57" t="str">
        <f>IFERROR(+VLOOKUP(Ventas[[#This Row],[Codigo de Producto]],Productos[#All],2,FALSE),"")</f>
        <v>Martinez</v>
      </c>
      <c r="K4103" s="57">
        <f>IFERROR(+VLOOKUP(Ventas[[#This Row],[Codigo de Producto]],Productos[#All],9,FALSE),"")</f>
        <v>34</v>
      </c>
      <c r="M4103" s="57">
        <f t="shared" si="1278"/>
        <v>68</v>
      </c>
      <c r="N4103" s="57">
        <f t="shared" si="1280"/>
        <v>172</v>
      </c>
    </row>
    <row r="4104" spans="1:14" x14ac:dyDescent="0.25">
      <c r="A4104">
        <v>341</v>
      </c>
      <c r="B4104" s="1">
        <v>44162</v>
      </c>
      <c r="C4104" s="57" t="str">
        <f>IF(Ventas[[#This Row],[Fecha ]]="","",+TEXT(B4104,"mmmm"))</f>
        <v>noviembre</v>
      </c>
      <c r="D4104" s="57" t="str">
        <f>IFERROR(+VLOOKUP(Ventas[[#This Row],[Codigo de Producto]],Productos[#All],3,FALSE),"")</f>
        <v>Porcelana</v>
      </c>
      <c r="E4104" t="s">
        <v>708</v>
      </c>
      <c r="F4104" s="57" t="str">
        <f>IFERROR(+VLOOKUP(Ventas[[#This Row],[Codigo de Producto]],Productos[#All],4,FALSE),"")</f>
        <v xml:space="preserve">Porcelana Maya </v>
      </c>
      <c r="G4104">
        <v>2</v>
      </c>
      <c r="H4104">
        <v>60</v>
      </c>
      <c r="I4104" s="57">
        <f>IF(Ventas[[#This Row],[Cantidad]]="","",+Ventas[[#This Row],[Cantidad]]*Ventas[[#This Row],[Precio]])</f>
        <v>120</v>
      </c>
      <c r="J4104" s="57" t="str">
        <f>IFERROR(+VLOOKUP(Ventas[[#This Row],[Codigo de Producto]],Productos[#All],2,FALSE),"")</f>
        <v>Martinez</v>
      </c>
      <c r="K4104" s="57">
        <f>IFERROR(+VLOOKUP(Ventas[[#This Row],[Codigo de Producto]],Productos[#All],9,FALSE),"")</f>
        <v>33.333333333333336</v>
      </c>
      <c r="M4104" s="57">
        <f t="shared" si="1278"/>
        <v>66.666666666666671</v>
      </c>
      <c r="N4104" s="57">
        <f t="shared" si="1280"/>
        <v>53.333333333333329</v>
      </c>
    </row>
    <row r="4105" spans="1:14" x14ac:dyDescent="0.25">
      <c r="A4105">
        <v>342</v>
      </c>
      <c r="B4105" s="1">
        <v>44162</v>
      </c>
      <c r="C4105" s="57" t="str">
        <f>IF(Ventas[[#This Row],[Fecha ]]="","",+TEXT(B4105,"mmmm"))</f>
        <v>noviembre</v>
      </c>
      <c r="D4105" s="57" t="str">
        <f>IFERROR(+VLOOKUP(Ventas[[#This Row],[Codigo de Producto]],Productos[#All],3,FALSE),"")</f>
        <v>Separadores</v>
      </c>
      <c r="E4105" t="s">
        <v>721</v>
      </c>
      <c r="F4105" s="57" t="str">
        <f>IFERROR(+VLOOKUP(Ventas[[#This Row],[Codigo de Producto]],Productos[#All],4,FALSE),"")</f>
        <v>Separadores de 4 mm</v>
      </c>
      <c r="G4105">
        <v>1</v>
      </c>
      <c r="H4105">
        <v>35</v>
      </c>
      <c r="I4105" s="57">
        <f>IF(Ventas[[#This Row],[Cantidad]]="","",+Ventas[[#This Row],[Cantidad]]*Ventas[[#This Row],[Precio]])</f>
        <v>35</v>
      </c>
      <c r="J4105" s="57" t="str">
        <f>IFERROR(+VLOOKUP(Ventas[[#This Row],[Codigo de Producto]],Productos[#All],2,FALSE),"")</f>
        <v>Silco</v>
      </c>
      <c r="K4105" s="57">
        <f>IFERROR(+VLOOKUP(Ventas[[#This Row],[Codigo de Producto]],Productos[#All],9,FALSE),"")</f>
        <v>22</v>
      </c>
      <c r="M4105" s="57">
        <f t="shared" si="1278"/>
        <v>22</v>
      </c>
      <c r="N4105" s="57">
        <f t="shared" si="1280"/>
        <v>13</v>
      </c>
    </row>
    <row r="4106" spans="1:14" x14ac:dyDescent="0.25">
      <c r="A4106">
        <v>343</v>
      </c>
      <c r="B4106" s="1">
        <v>44163</v>
      </c>
      <c r="C4106" s="57" t="str">
        <f>IF(Ventas[[#This Row],[Fecha ]]="","",+TEXT(B4106,"mmmm"))</f>
        <v>noviembre</v>
      </c>
      <c r="D4106" s="57" t="str">
        <f>IFERROR(+VLOOKUP(Ventas[[#This Row],[Codigo de Producto]],Productos[#All],3,FALSE),"")</f>
        <v>Porcelana</v>
      </c>
      <c r="E4106" t="s">
        <v>708</v>
      </c>
      <c r="F4106" s="57" t="str">
        <f>IFERROR(+VLOOKUP(Ventas[[#This Row],[Codigo de Producto]],Productos[#All],4,FALSE),"")</f>
        <v xml:space="preserve">Porcelana Maya </v>
      </c>
      <c r="G4106">
        <v>2</v>
      </c>
      <c r="H4106">
        <v>60</v>
      </c>
      <c r="I4106" s="57">
        <f>IF(Ventas[[#This Row],[Cantidad]]="","",+Ventas[[#This Row],[Cantidad]]*Ventas[[#This Row],[Precio]])</f>
        <v>120</v>
      </c>
      <c r="J4106" s="57" t="str">
        <f>IFERROR(+VLOOKUP(Ventas[[#This Row],[Codigo de Producto]],Productos[#All],2,FALSE),"")</f>
        <v>Martinez</v>
      </c>
      <c r="K4106" s="57">
        <f>IFERROR(+VLOOKUP(Ventas[[#This Row],[Codigo de Producto]],Productos[#All],9,FALSE),"")</f>
        <v>33.333333333333336</v>
      </c>
      <c r="M4106" s="57">
        <f t="shared" si="1278"/>
        <v>66.666666666666671</v>
      </c>
      <c r="N4106" s="57">
        <f t="shared" si="1280"/>
        <v>53.333333333333329</v>
      </c>
    </row>
    <row r="4107" spans="1:14" x14ac:dyDescent="0.25">
      <c r="A4107">
        <v>344</v>
      </c>
      <c r="B4107" s="1">
        <v>44163</v>
      </c>
      <c r="C4107" s="57" t="str">
        <f>IF(Ventas[[#This Row],[Fecha ]]="","",+TEXT(B4107,"mmmm"))</f>
        <v>noviembre</v>
      </c>
      <c r="D4107" s="57" t="str">
        <f>IFERROR(+VLOOKUP(Ventas[[#This Row],[Codigo de Producto]],Productos[#All],3,FALSE),"")</f>
        <v>Cerámica</v>
      </c>
      <c r="E4107" t="s">
        <v>881</v>
      </c>
      <c r="F4107" s="57" t="str">
        <f>IFERROR(+VLOOKUP(Ventas[[#This Row],[Codigo de Producto]],Productos[#All],4,FALSE),"")</f>
        <v>Natal Marrón</v>
      </c>
      <c r="G4107">
        <v>29</v>
      </c>
      <c r="H4107">
        <v>240</v>
      </c>
      <c r="I4107" s="57">
        <f>IF(Ventas[[#This Row],[Cantidad]]="","",+Ventas[[#This Row],[Cantidad]]*Ventas[[#This Row],[Precio]])</f>
        <v>6960</v>
      </c>
      <c r="J4107" s="57" t="str">
        <f>IFERROR(+VLOOKUP(Ventas[[#This Row],[Codigo de Producto]],Productos[#All],2,FALSE),"")</f>
        <v>Dispiasa</v>
      </c>
      <c r="K4107" s="57">
        <f ca="1">IFERROR(+VLOOKUP(Ventas[[#This Row],[Codigo de Producto]],Productos[#All],9,FALSE),"")</f>
        <v>207</v>
      </c>
      <c r="M4107" s="57">
        <f t="shared" ca="1" si="1278"/>
        <v>6003</v>
      </c>
      <c r="N4107" s="57">
        <f t="shared" ca="1" si="1280"/>
        <v>957</v>
      </c>
    </row>
    <row r="4108" spans="1:14" x14ac:dyDescent="0.25">
      <c r="A4108">
        <v>345</v>
      </c>
      <c r="B4108" s="1">
        <v>44163</v>
      </c>
      <c r="C4108" s="57" t="str">
        <f>IF(Ventas[[#This Row],[Fecha ]]="","",+TEXT(B4108,"mmmm"))</f>
        <v>noviembre</v>
      </c>
      <c r="D4108" s="57" t="str">
        <f>IFERROR(+VLOOKUP(Ventas[[#This Row],[Codigo de Producto]],Productos[#All],3,FALSE),"")</f>
        <v>Bond</v>
      </c>
      <c r="E4108" t="s">
        <v>888</v>
      </c>
      <c r="F4108" s="57" t="str">
        <f>IFERROR(+VLOOKUP(Ventas[[#This Row],[Codigo de Producto]],Productos[#All],4,FALSE),"")</f>
        <v>Diamond Bond Plus</v>
      </c>
      <c r="G4108">
        <v>10</v>
      </c>
      <c r="H4108">
        <v>120</v>
      </c>
      <c r="I4108" s="57">
        <f>IF(Ventas[[#This Row],[Cantidad]]="","",+Ventas[[#This Row],[Cantidad]]*Ventas[[#This Row],[Precio]])</f>
        <v>1200</v>
      </c>
      <c r="J4108" s="57" t="str">
        <f>IFERROR(+VLOOKUP(Ventas[[#This Row],[Codigo de Producto]],Productos[#All],2,FALSE),"")</f>
        <v>Martinez</v>
      </c>
      <c r="K4108" s="57">
        <f>IFERROR(+VLOOKUP(Ventas[[#This Row],[Codigo de Producto]],Productos[#All],9,FALSE),"")</f>
        <v>34</v>
      </c>
      <c r="M4108" s="57">
        <f t="shared" si="1278"/>
        <v>340</v>
      </c>
      <c r="N4108" s="57">
        <f t="shared" si="1280"/>
        <v>860</v>
      </c>
    </row>
    <row r="4109" spans="1:14" x14ac:dyDescent="0.25">
      <c r="A4109">
        <v>346</v>
      </c>
      <c r="B4109" s="1">
        <v>44163</v>
      </c>
      <c r="C4109" s="57" t="str">
        <f>IF(Ventas[[#This Row],[Fecha ]]="","",+TEXT(B4109,"mmmm"))</f>
        <v>noviembre</v>
      </c>
      <c r="D4109" s="57" t="str">
        <f>IFERROR(+VLOOKUP(Ventas[[#This Row],[Codigo de Producto]],Productos[#All],3,FALSE),"")</f>
        <v>Porcelana</v>
      </c>
      <c r="E4109" t="s">
        <v>708</v>
      </c>
      <c r="F4109" s="57" t="str">
        <f>IFERROR(+VLOOKUP(Ventas[[#This Row],[Codigo de Producto]],Productos[#All],4,FALSE),"")</f>
        <v xml:space="preserve">Porcelana Maya </v>
      </c>
      <c r="G4109">
        <v>2</v>
      </c>
      <c r="H4109">
        <v>60</v>
      </c>
      <c r="I4109" s="57">
        <f>IF(Ventas[[#This Row],[Cantidad]]="","",+Ventas[[#This Row],[Cantidad]]*Ventas[[#This Row],[Precio]])</f>
        <v>120</v>
      </c>
      <c r="J4109" s="57" t="str">
        <f>IFERROR(+VLOOKUP(Ventas[[#This Row],[Codigo de Producto]],Productos[#All],2,FALSE),"")</f>
        <v>Martinez</v>
      </c>
      <c r="K4109" s="57">
        <f>IFERROR(+VLOOKUP(Ventas[[#This Row],[Codigo de Producto]],Productos[#All],9,FALSE),"")</f>
        <v>33.333333333333336</v>
      </c>
      <c r="M4109" s="57">
        <f t="shared" si="1278"/>
        <v>66.666666666666671</v>
      </c>
      <c r="N4109" s="57">
        <f t="shared" si="1280"/>
        <v>53.333333333333329</v>
      </c>
    </row>
    <row r="4110" spans="1:14" x14ac:dyDescent="0.25">
      <c r="A4110">
        <v>347</v>
      </c>
      <c r="B4110" s="1">
        <v>44163</v>
      </c>
      <c r="C4110" s="57" t="str">
        <f>IF(Ventas[[#This Row],[Fecha ]]="","",+TEXT(B4110,"mmmm"))</f>
        <v>noviembre</v>
      </c>
      <c r="D4110" s="57" t="str">
        <f>IFERROR(+VLOOKUP(Ventas[[#This Row],[Codigo de Producto]],Productos[#All],3,FALSE),"")</f>
        <v>Separadores</v>
      </c>
      <c r="E4110" t="s">
        <v>722</v>
      </c>
      <c r="F4110" s="57" t="str">
        <f>IFERROR(+VLOOKUP(Ventas[[#This Row],[Codigo de Producto]],Productos[#All],4,FALSE),"")</f>
        <v>Separadores de 5 mm</v>
      </c>
      <c r="G4110">
        <v>2</v>
      </c>
      <c r="H4110">
        <v>35</v>
      </c>
      <c r="I4110" s="57">
        <f>IF(Ventas[[#This Row],[Cantidad]]="","",+Ventas[[#This Row],[Cantidad]]*Ventas[[#This Row],[Precio]])</f>
        <v>70</v>
      </c>
      <c r="J4110" s="57" t="str">
        <f>IFERROR(+VLOOKUP(Ventas[[#This Row],[Codigo de Producto]],Productos[#All],2,FALSE),"")</f>
        <v>Silco</v>
      </c>
      <c r="K4110" s="57">
        <f>IFERROR(+VLOOKUP(Ventas[[#This Row],[Codigo de Producto]],Productos[#All],9,FALSE),"")</f>
        <v>22</v>
      </c>
      <c r="M4110" s="57">
        <f t="shared" si="1278"/>
        <v>44</v>
      </c>
      <c r="N4110" s="57">
        <f t="shared" si="1280"/>
        <v>26</v>
      </c>
    </row>
    <row r="4111" spans="1:14" x14ac:dyDescent="0.25">
      <c r="A4111">
        <v>348</v>
      </c>
      <c r="B4111" s="1">
        <v>44163</v>
      </c>
      <c r="C4111" s="57" t="str">
        <f>IF(Ventas[[#This Row],[Fecha ]]="","",+TEXT(B4111,"mmmm"))</f>
        <v>noviembre</v>
      </c>
      <c r="D4111" s="57" t="str">
        <f>IFERROR(+VLOOKUP(Ventas[[#This Row],[Codigo de Producto]],Productos[#All],3,FALSE),"")</f>
        <v>Plasterbond</v>
      </c>
      <c r="E4111" t="s">
        <v>713</v>
      </c>
      <c r="F4111" s="57" t="str">
        <f>IFERROR(+VLOOKUP(Ventas[[#This Row],[Codigo de Producto]],Productos[#All],4,FALSE),"")</f>
        <v>Plasterbond Klebe</v>
      </c>
      <c r="G4111">
        <v>3.2</v>
      </c>
      <c r="H4111">
        <v>100</v>
      </c>
      <c r="I4111" s="57">
        <f>IF(Ventas[[#This Row],[Cantidad]]="","",+Ventas[[#This Row],[Cantidad]]*Ventas[[#This Row],[Precio]])</f>
        <v>320</v>
      </c>
      <c r="J4111" s="57" t="str">
        <f>IFERROR(+VLOOKUP(Ventas[[#This Row],[Codigo de Producto]],Productos[#All],2,FALSE),"")</f>
        <v>Aginsa</v>
      </c>
      <c r="K4111" s="57">
        <f>IFERROR(+VLOOKUP(Ventas[[#This Row],[Codigo de Producto]],Productos[#All],9,FALSE),"")</f>
        <v>80</v>
      </c>
      <c r="M4111" s="57">
        <f t="shared" si="1278"/>
        <v>256</v>
      </c>
      <c r="N4111" s="57">
        <f t="shared" si="1280"/>
        <v>64</v>
      </c>
    </row>
    <row r="4112" spans="1:14" x14ac:dyDescent="0.25">
      <c r="A4112">
        <v>349</v>
      </c>
      <c r="B4112" s="1">
        <v>44163</v>
      </c>
      <c r="C4112" s="57" t="str">
        <f>IF(Ventas[[#This Row],[Fecha ]]="","",+TEXT(B4112,"mmmm"))</f>
        <v>noviembre</v>
      </c>
      <c r="D4112" s="57" t="str">
        <f>IFERROR(+VLOOKUP(Ventas[[#This Row],[Codigo de Producto]],Productos[#All],3,FALSE),"")</f>
        <v>Cerámica</v>
      </c>
      <c r="E4112" t="s">
        <v>696</v>
      </c>
      <c r="F4112" s="57" t="str">
        <f>IFERROR(+VLOOKUP(Ventas[[#This Row],[Codigo de Producto]],Productos[#All],4,FALSE),"")</f>
        <v>Madera Cedro</v>
      </c>
      <c r="G4112">
        <v>4</v>
      </c>
      <c r="H4112">
        <v>280</v>
      </c>
      <c r="I4112" s="57">
        <f>IF(Ventas[[#This Row],[Cantidad]]="","",+Ventas[[#This Row],[Cantidad]]*Ventas[[#This Row],[Precio]])</f>
        <v>1120</v>
      </c>
      <c r="J4112" s="57" t="str">
        <f>IFERROR(+VLOOKUP(Ventas[[#This Row],[Codigo de Producto]],Productos[#All],2,FALSE),"")</f>
        <v>Comasa</v>
      </c>
      <c r="K4112" s="57">
        <f>IFERROR(+VLOOKUP(Ventas[[#This Row],[Codigo de Producto]],Productos[#All],9,FALSE),"")</f>
        <v>236</v>
      </c>
      <c r="M4112" s="57">
        <f t="shared" si="1278"/>
        <v>944</v>
      </c>
      <c r="N4112" s="57">
        <f t="shared" si="1280"/>
        <v>176</v>
      </c>
    </row>
    <row r="4113" spans="1:14" x14ac:dyDescent="0.25">
      <c r="A4113">
        <v>350</v>
      </c>
      <c r="B4113" s="1">
        <v>44163</v>
      </c>
      <c r="C4113" s="57" t="str">
        <f>IF(Ventas[[#This Row],[Fecha ]]="","",+TEXT(B4113,"mmmm"))</f>
        <v>noviembre</v>
      </c>
      <c r="D4113" s="57" t="str">
        <f>IFERROR(+VLOOKUP(Ventas[[#This Row],[Codigo de Producto]],Productos[#All],3,FALSE),"")</f>
        <v>Bond</v>
      </c>
      <c r="E4113" t="s">
        <v>888</v>
      </c>
      <c r="F4113" s="57" t="str">
        <f>IFERROR(+VLOOKUP(Ventas[[#This Row],[Codigo de Producto]],Productos[#All],4,FALSE),"")</f>
        <v>Diamond Bond Plus</v>
      </c>
      <c r="G4113">
        <v>12</v>
      </c>
      <c r="H4113">
        <v>120</v>
      </c>
      <c r="I4113" s="57">
        <f>IF(Ventas[[#This Row],[Cantidad]]="","",+Ventas[[#This Row],[Cantidad]]*Ventas[[#This Row],[Precio]])</f>
        <v>1440</v>
      </c>
      <c r="J4113" s="57" t="str">
        <f>IFERROR(+VLOOKUP(Ventas[[#This Row],[Codigo de Producto]],Productos[#All],2,FALSE),"")</f>
        <v>Martinez</v>
      </c>
      <c r="K4113" s="57">
        <f>IFERROR(+VLOOKUP(Ventas[[#This Row],[Codigo de Producto]],Productos[#All],9,FALSE),"")</f>
        <v>34</v>
      </c>
      <c r="M4113" s="57">
        <f t="shared" si="1278"/>
        <v>408</v>
      </c>
      <c r="N4113" s="57">
        <f t="shared" si="1280"/>
        <v>1032</v>
      </c>
    </row>
    <row r="4114" spans="1:14" x14ac:dyDescent="0.25">
      <c r="A4114">
        <v>351</v>
      </c>
      <c r="B4114" s="1">
        <v>44163</v>
      </c>
      <c r="C4114" s="57" t="str">
        <f>IF(Ventas[[#This Row],[Fecha ]]="","",+TEXT(B4114,"mmmm"))</f>
        <v>noviembre</v>
      </c>
      <c r="D4114" s="57" t="str">
        <f>IFERROR(+VLOOKUP(Ventas[[#This Row],[Codigo de Producto]],Productos[#All],3,FALSE),"")</f>
        <v>Cerámica</v>
      </c>
      <c r="E4114" t="s">
        <v>881</v>
      </c>
      <c r="F4114" s="57" t="str">
        <f>IFERROR(+VLOOKUP(Ventas[[#This Row],[Codigo de Producto]],Productos[#All],4,FALSE),"")</f>
        <v>Natal Marrón</v>
      </c>
      <c r="G4114">
        <v>26</v>
      </c>
      <c r="H4114">
        <v>240</v>
      </c>
      <c r="I4114" s="57">
        <f>IF(Ventas[[#This Row],[Cantidad]]="","",+Ventas[[#This Row],[Cantidad]]*Ventas[[#This Row],[Precio]])</f>
        <v>6240</v>
      </c>
      <c r="J4114" s="57" t="str">
        <f>IFERROR(+VLOOKUP(Ventas[[#This Row],[Codigo de Producto]],Productos[#All],2,FALSE),"")</f>
        <v>Dispiasa</v>
      </c>
      <c r="K4114" s="57">
        <f ca="1">IFERROR(+VLOOKUP(Ventas[[#This Row],[Codigo de Producto]],Productos[#All],9,FALSE),"")</f>
        <v>207</v>
      </c>
      <c r="M4114" s="57">
        <f t="shared" ca="1" si="1278"/>
        <v>5382</v>
      </c>
      <c r="N4114" s="57">
        <f t="shared" ca="1" si="1280"/>
        <v>858</v>
      </c>
    </row>
    <row r="4115" spans="1:14" x14ac:dyDescent="0.25">
      <c r="A4115">
        <v>352</v>
      </c>
      <c r="B4115" s="1">
        <v>44163</v>
      </c>
      <c r="C4115" s="57" t="str">
        <f>IF(Ventas[[#This Row],[Fecha ]]="","",+TEXT(B4115,"mmmm"))</f>
        <v>noviembre</v>
      </c>
      <c r="D4115" s="57" t="str">
        <f>IFERROR(+VLOOKUP(Ventas[[#This Row],[Codigo de Producto]],Productos[#All],3,FALSE),"")</f>
        <v>Plasterbond</v>
      </c>
      <c r="E4115" t="s">
        <v>713</v>
      </c>
      <c r="F4115" s="57" t="str">
        <f>IFERROR(+VLOOKUP(Ventas[[#This Row],[Codigo de Producto]],Productos[#All],4,FALSE),"")</f>
        <v>Plasterbond Klebe</v>
      </c>
      <c r="G4115">
        <v>2</v>
      </c>
      <c r="H4115">
        <v>100</v>
      </c>
      <c r="I4115" s="57">
        <f>IF(Ventas[[#This Row],[Cantidad]]="","",+Ventas[[#This Row],[Cantidad]]*Ventas[[#This Row],[Precio]])</f>
        <v>200</v>
      </c>
      <c r="J4115" s="57" t="str">
        <f>IFERROR(+VLOOKUP(Ventas[[#This Row],[Codigo de Producto]],Productos[#All],2,FALSE),"")</f>
        <v>Aginsa</v>
      </c>
      <c r="K4115" s="57">
        <f>IFERROR(+VLOOKUP(Ventas[[#This Row],[Codigo de Producto]],Productos[#All],9,FALSE),"")</f>
        <v>80</v>
      </c>
      <c r="M4115" s="57">
        <f t="shared" si="1278"/>
        <v>160</v>
      </c>
      <c r="N4115" s="57">
        <f t="shared" si="1280"/>
        <v>40</v>
      </c>
    </row>
    <row r="4116" spans="1:14" x14ac:dyDescent="0.25">
      <c r="A4116">
        <v>353</v>
      </c>
      <c r="B4116" s="1">
        <v>44163</v>
      </c>
      <c r="C4116" s="57" t="str">
        <f>IF(Ventas[[#This Row],[Fecha ]]="","",+TEXT(B4116,"mmmm"))</f>
        <v>noviembre</v>
      </c>
      <c r="D4116" s="57" t="str">
        <f>IFERROR(+VLOOKUP(Ventas[[#This Row],[Codigo de Producto]],Productos[#All],3,FALSE),"")</f>
        <v>Porcelana</v>
      </c>
      <c r="E4116" t="s">
        <v>708</v>
      </c>
      <c r="F4116" s="57" t="str">
        <f>IFERROR(+VLOOKUP(Ventas[[#This Row],[Codigo de Producto]],Productos[#All],4,FALSE),"")</f>
        <v xml:space="preserve">Porcelana Maya </v>
      </c>
      <c r="G4116">
        <v>4</v>
      </c>
      <c r="H4116">
        <v>60</v>
      </c>
      <c r="I4116" s="57">
        <f>IF(Ventas[[#This Row],[Cantidad]]="","",+Ventas[[#This Row],[Cantidad]]*Ventas[[#This Row],[Precio]])</f>
        <v>240</v>
      </c>
      <c r="J4116" s="57" t="str">
        <f>IFERROR(+VLOOKUP(Ventas[[#This Row],[Codigo de Producto]],Productos[#All],2,FALSE),"")</f>
        <v>Martinez</v>
      </c>
      <c r="K4116" s="57">
        <f>IFERROR(+VLOOKUP(Ventas[[#This Row],[Codigo de Producto]],Productos[#All],9,FALSE),"")</f>
        <v>33.333333333333336</v>
      </c>
      <c r="M4116" s="57">
        <f t="shared" si="1278"/>
        <v>133.33333333333334</v>
      </c>
      <c r="N4116" s="57">
        <f t="shared" si="1280"/>
        <v>106.66666666666666</v>
      </c>
    </row>
    <row r="4117" spans="1:14" x14ac:dyDescent="0.25">
      <c r="A4117">
        <v>354</v>
      </c>
      <c r="B4117" s="1">
        <v>44163</v>
      </c>
      <c r="C4117" s="57" t="str">
        <f>IF(Ventas[[#This Row],[Fecha ]]="","",+TEXT(B4117,"mmmm"))</f>
        <v>noviembre</v>
      </c>
      <c r="D4117" s="57" t="str">
        <f>IFERROR(+VLOOKUP(Ventas[[#This Row],[Codigo de Producto]],Productos[#All],3,FALSE),"")</f>
        <v>Otro</v>
      </c>
      <c r="E4117" t="s">
        <v>860</v>
      </c>
      <c r="F4117" s="57" t="str">
        <f>IFERROR(+VLOOKUP(Ventas[[#This Row],[Codigo de Producto]],Productos[#All],4,FALSE),"")</f>
        <v>Ácido Muriático</v>
      </c>
      <c r="G4117">
        <v>3</v>
      </c>
      <c r="H4117">
        <v>60</v>
      </c>
      <c r="I4117" s="57">
        <f>IF(Ventas[[#This Row],[Cantidad]]="","",+Ventas[[#This Row],[Cantidad]]*Ventas[[#This Row],[Precio]])</f>
        <v>180</v>
      </c>
      <c r="J4117" s="57" t="str">
        <f>IFERROR(+VLOOKUP(Ventas[[#This Row],[Codigo de Producto]],Productos[#All],2,FALSE),"")</f>
        <v>Rodriguez</v>
      </c>
      <c r="K4117" s="57">
        <f>IFERROR(+VLOOKUP(Ventas[[#This Row],[Codigo de Producto]],Productos[#All],9,FALSE),"")</f>
        <v>50.5</v>
      </c>
      <c r="M4117" s="57">
        <f t="shared" si="1278"/>
        <v>151.5</v>
      </c>
      <c r="N4117" s="57">
        <f t="shared" si="1280"/>
        <v>28.5</v>
      </c>
    </row>
    <row r="4118" spans="1:14" x14ac:dyDescent="0.25">
      <c r="A4118">
        <v>355</v>
      </c>
      <c r="B4118" s="1">
        <v>44163</v>
      </c>
      <c r="C4118" s="57" t="str">
        <f>IF(Ventas[[#This Row],[Fecha ]]="","",+TEXT(B4118,"mmmm"))</f>
        <v>noviembre</v>
      </c>
      <c r="D4118" s="57" t="str">
        <f>IFERROR(+VLOOKUP(Ventas[[#This Row],[Codigo de Producto]],Productos[#All],3,FALSE),"")</f>
        <v>Cerámica</v>
      </c>
      <c r="E4118" t="s">
        <v>871</v>
      </c>
      <c r="F4118" s="57" t="str">
        <f>IFERROR(+VLOOKUP(Ventas[[#This Row],[Codigo de Producto]],Productos[#All],4,FALSE),"")</f>
        <v>Piso Incenor Plain White 58x58</v>
      </c>
      <c r="G4118">
        <v>6.5</v>
      </c>
      <c r="H4118">
        <v>255</v>
      </c>
      <c r="I4118" s="57">
        <f>IF(Ventas[[#This Row],[Cantidad]]="","",+Ventas[[#This Row],[Cantidad]]*Ventas[[#This Row],[Precio]])</f>
        <v>1657.5</v>
      </c>
      <c r="J4118" s="57" t="str">
        <f>IFERROR(+VLOOKUP(Ventas[[#This Row],[Codigo de Producto]],Productos[#All],2,FALSE),"")</f>
        <v>Halcón</v>
      </c>
      <c r="K4118" s="57">
        <f ca="1">IFERROR(+VLOOKUP(Ventas[[#This Row],[Codigo de Producto]],Productos[#All],9,FALSE),"")</f>
        <v>225</v>
      </c>
      <c r="M4118" s="57">
        <f t="shared" ca="1" si="1278"/>
        <v>1462.5</v>
      </c>
      <c r="N4118" s="57">
        <f t="shared" ca="1" si="1280"/>
        <v>195</v>
      </c>
    </row>
    <row r="4119" spans="1:14" x14ac:dyDescent="0.25">
      <c r="A4119">
        <v>356</v>
      </c>
      <c r="B4119" s="1">
        <v>44163</v>
      </c>
      <c r="C4119" s="57" t="str">
        <f>IF(Ventas[[#This Row],[Fecha ]]="","",+TEXT(B4119,"mmmm"))</f>
        <v>noviembre</v>
      </c>
      <c r="D4119" s="57" t="str">
        <f>IFERROR(+VLOOKUP(Ventas[[#This Row],[Codigo de Producto]],Productos[#All],3,FALSE),"")</f>
        <v>Porcelana</v>
      </c>
      <c r="E4119" t="s">
        <v>708</v>
      </c>
      <c r="F4119" s="57" t="str">
        <f>IFERROR(+VLOOKUP(Ventas[[#This Row],[Codigo de Producto]],Productos[#All],4,FALSE),"")</f>
        <v xml:space="preserve">Porcelana Maya </v>
      </c>
      <c r="G4119">
        <v>1</v>
      </c>
      <c r="H4119">
        <v>60</v>
      </c>
      <c r="I4119" s="57">
        <f>IF(Ventas[[#This Row],[Cantidad]]="","",+Ventas[[#This Row],[Cantidad]]*Ventas[[#This Row],[Precio]])</f>
        <v>60</v>
      </c>
      <c r="J4119" s="57" t="str">
        <f>IFERROR(+VLOOKUP(Ventas[[#This Row],[Codigo de Producto]],Productos[#All],2,FALSE),"")</f>
        <v>Martinez</v>
      </c>
      <c r="K4119" s="57">
        <f>IFERROR(+VLOOKUP(Ventas[[#This Row],[Codigo de Producto]],Productos[#All],9,FALSE),"")</f>
        <v>33.333333333333336</v>
      </c>
      <c r="M4119" s="57">
        <f t="shared" si="1278"/>
        <v>33.333333333333336</v>
      </c>
      <c r="N4119" s="57">
        <f t="shared" si="1280"/>
        <v>26.666666666666664</v>
      </c>
    </row>
    <row r="4120" spans="1:14" x14ac:dyDescent="0.25">
      <c r="A4120">
        <v>358</v>
      </c>
      <c r="B4120" s="1">
        <v>44163</v>
      </c>
      <c r="C4120" s="57" t="str">
        <f>IF(Ventas[[#This Row],[Fecha ]]="","",+TEXT(B4120,"mmmm"))</f>
        <v>noviembre</v>
      </c>
      <c r="D4120" s="57" t="str">
        <f>IFERROR(+VLOOKUP(Ventas[[#This Row],[Codigo de Producto]],Productos[#All],3,FALSE),"")</f>
        <v>Cerámica</v>
      </c>
      <c r="E4120" t="s">
        <v>871</v>
      </c>
      <c r="F4120" s="57" t="str">
        <f>IFERROR(+VLOOKUP(Ventas[[#This Row],[Codigo de Producto]],Productos[#All],4,FALSE),"")</f>
        <v>Piso Incenor Plain White 58x58</v>
      </c>
      <c r="G4120">
        <v>56</v>
      </c>
      <c r="H4120">
        <v>250</v>
      </c>
      <c r="I4120" s="57">
        <f>IF(Ventas[[#This Row],[Cantidad]]="","",+Ventas[[#This Row],[Cantidad]]*Ventas[[#This Row],[Precio]])</f>
        <v>14000</v>
      </c>
      <c r="J4120" s="57" t="str">
        <f>IFERROR(+VLOOKUP(Ventas[[#This Row],[Codigo de Producto]],Productos[#All],2,FALSE),"")</f>
        <v>Halcón</v>
      </c>
      <c r="K4120" s="57">
        <f ca="1">IFERROR(+VLOOKUP(Ventas[[#This Row],[Codigo de Producto]],Productos[#All],9,FALSE),"")</f>
        <v>225</v>
      </c>
      <c r="M4120" s="57">
        <f t="shared" ca="1" si="1278"/>
        <v>12600</v>
      </c>
      <c r="N4120" s="57">
        <f t="shared" ca="1" si="1280"/>
        <v>1400</v>
      </c>
    </row>
    <row r="4121" spans="1:14" x14ac:dyDescent="0.25">
      <c r="A4121">
        <v>359</v>
      </c>
      <c r="B4121" s="1">
        <v>44163</v>
      </c>
      <c r="C4121" s="57" t="str">
        <f>IF(Ventas[[#This Row],[Fecha ]]="","",+TEXT(B4121,"mmmm"))</f>
        <v>noviembre</v>
      </c>
      <c r="D4121" s="57" t="str">
        <f>IFERROR(+VLOOKUP(Ventas[[#This Row],[Codigo de Producto]],Productos[#All],3,FALSE),"")</f>
        <v>Separadores</v>
      </c>
      <c r="E4121" t="s">
        <v>720</v>
      </c>
      <c r="F4121" s="57" t="str">
        <f>IFERROR(+VLOOKUP(Ventas[[#This Row],[Codigo de Producto]],Productos[#All],4,FALSE),"")</f>
        <v>Separadores de 3 mm</v>
      </c>
      <c r="G4121">
        <v>1</v>
      </c>
      <c r="H4121">
        <v>35</v>
      </c>
      <c r="I4121" s="57">
        <f>IF(Ventas[[#This Row],[Cantidad]]="","",+Ventas[[#This Row],[Cantidad]]*Ventas[[#This Row],[Precio]])</f>
        <v>35</v>
      </c>
      <c r="J4121" s="57" t="str">
        <f>IFERROR(+VLOOKUP(Ventas[[#This Row],[Codigo de Producto]],Productos[#All],2,FALSE),"")</f>
        <v>Silco</v>
      </c>
      <c r="K4121" s="57">
        <f>IFERROR(+VLOOKUP(Ventas[[#This Row],[Codigo de Producto]],Productos[#All],9,FALSE),"")</f>
        <v>26</v>
      </c>
      <c r="M4121" s="57">
        <f t="shared" si="1278"/>
        <v>26</v>
      </c>
      <c r="N4121" s="57">
        <f t="shared" si="1280"/>
        <v>9</v>
      </c>
    </row>
    <row r="4122" spans="1:14" x14ac:dyDescent="0.25">
      <c r="A4122">
        <v>360</v>
      </c>
      <c r="B4122" s="1">
        <v>44165</v>
      </c>
      <c r="C4122" s="57" t="str">
        <f>IF(Ventas[[#This Row],[Fecha ]]="","",+TEXT(B4122,"mmmm"))</f>
        <v>noviembre</v>
      </c>
      <c r="D4122" s="57" t="str">
        <f>IFERROR(+VLOOKUP(Ventas[[#This Row],[Codigo de Producto]],Productos[#All],3,FALSE),"")</f>
        <v>Bond</v>
      </c>
      <c r="E4122" t="s">
        <v>704</v>
      </c>
      <c r="F4122" s="57" t="str">
        <f>IFERROR(+VLOOKUP(Ventas[[#This Row],[Codigo de Producto]],Productos[#All],4,FALSE),"")</f>
        <v>Drytec Bond Plus</v>
      </c>
      <c r="G4122">
        <v>20</v>
      </c>
      <c r="H4122">
        <v>150</v>
      </c>
      <c r="I4122" s="57">
        <f>IF(Ventas[[#This Row],[Cantidad]]="","",+Ventas[[#This Row],[Cantidad]]*Ventas[[#This Row],[Precio]])</f>
        <v>3000</v>
      </c>
      <c r="J4122" s="57" t="str">
        <f>IFERROR(+VLOOKUP(Ventas[[#This Row],[Codigo de Producto]],Productos[#All],2,FALSE),"")</f>
        <v>Comasa</v>
      </c>
      <c r="K4122" s="57">
        <f>IFERROR(+VLOOKUP(Ventas[[#This Row],[Codigo de Producto]],Productos[#All],9,FALSE),"")</f>
        <v>127</v>
      </c>
      <c r="M4122" s="57">
        <f t="shared" ref="M4122:M4154" si="1281">+IF(K4122=0,(""),(K4122*G4122))</f>
        <v>2540</v>
      </c>
      <c r="N4122" s="57">
        <f t="shared" ref="N4122:N4154" si="1282">+IF(K4122=0,(""),(I4122-M4122))</f>
        <v>460</v>
      </c>
    </row>
    <row r="4123" spans="1:14" x14ac:dyDescent="0.25">
      <c r="A4123">
        <v>361</v>
      </c>
      <c r="B4123" s="1">
        <v>44165</v>
      </c>
      <c r="C4123" s="57" t="str">
        <f>IF(Ventas[[#This Row],[Fecha ]]="","",+TEXT(B4123,"mmmm"))</f>
        <v>noviembre</v>
      </c>
      <c r="D4123" s="57" t="str">
        <f>IFERROR(+VLOOKUP(Ventas[[#This Row],[Codigo de Producto]],Productos[#All],3,FALSE),"")</f>
        <v>Porcelana</v>
      </c>
      <c r="E4123" t="s">
        <v>708</v>
      </c>
      <c r="F4123" s="57" t="str">
        <f>IFERROR(+VLOOKUP(Ventas[[#This Row],[Codigo de Producto]],Productos[#All],4,FALSE),"")</f>
        <v xml:space="preserve">Porcelana Maya </v>
      </c>
      <c r="G4123">
        <v>2</v>
      </c>
      <c r="H4123">
        <v>60</v>
      </c>
      <c r="I4123" s="57">
        <f>IF(Ventas[[#This Row],[Cantidad]]="","",+Ventas[[#This Row],[Cantidad]]*Ventas[[#This Row],[Precio]])</f>
        <v>120</v>
      </c>
      <c r="J4123" s="57" t="str">
        <f>IFERROR(+VLOOKUP(Ventas[[#This Row],[Codigo de Producto]],Productos[#All],2,FALSE),"")</f>
        <v>Martinez</v>
      </c>
      <c r="K4123" s="57">
        <f>IFERROR(+VLOOKUP(Ventas[[#This Row],[Codigo de Producto]],Productos[#All],9,FALSE),"")</f>
        <v>33.333333333333336</v>
      </c>
      <c r="M4123" s="57">
        <f t="shared" si="1281"/>
        <v>66.666666666666671</v>
      </c>
      <c r="N4123" s="57">
        <f t="shared" si="1282"/>
        <v>53.333333333333329</v>
      </c>
    </row>
    <row r="4124" spans="1:14" x14ac:dyDescent="0.25">
      <c r="A4124">
        <v>362</v>
      </c>
      <c r="B4124" s="1">
        <v>44165</v>
      </c>
      <c r="C4124" s="57" t="str">
        <f>IF(Ventas[[#This Row],[Fecha ]]="","",+TEXT(B4124,"mmmm"))</f>
        <v>noviembre</v>
      </c>
      <c r="D4124" s="57" t="str">
        <f>IFERROR(+VLOOKUP(Ventas[[#This Row],[Codigo de Producto]],Productos[#All],3,FALSE),"")</f>
        <v>Cerámica</v>
      </c>
      <c r="E4124" t="s">
        <v>881</v>
      </c>
      <c r="F4124" s="57" t="str">
        <f>IFERROR(+VLOOKUP(Ventas[[#This Row],[Codigo de Producto]],Productos[#All],4,FALSE),"")</f>
        <v>Natal Marrón</v>
      </c>
      <c r="G4124">
        <v>18</v>
      </c>
      <c r="H4124">
        <v>240</v>
      </c>
      <c r="I4124" s="57">
        <f>IF(Ventas[[#This Row],[Cantidad]]="","",+Ventas[[#This Row],[Cantidad]]*Ventas[[#This Row],[Precio]])</f>
        <v>4320</v>
      </c>
      <c r="J4124" s="57" t="str">
        <f>IFERROR(+VLOOKUP(Ventas[[#This Row],[Codigo de Producto]],Productos[#All],2,FALSE),"")</f>
        <v>Dispiasa</v>
      </c>
      <c r="K4124" s="57">
        <f ca="1">IFERROR(+VLOOKUP(Ventas[[#This Row],[Codigo de Producto]],Productos[#All],9,FALSE),"")</f>
        <v>207</v>
      </c>
      <c r="M4124" s="57">
        <f t="shared" ca="1" si="1281"/>
        <v>3726</v>
      </c>
      <c r="N4124" s="57">
        <f t="shared" ca="1" si="1282"/>
        <v>594</v>
      </c>
    </row>
    <row r="4125" spans="1:14" x14ac:dyDescent="0.25">
      <c r="A4125">
        <v>363</v>
      </c>
      <c r="B4125" s="1">
        <v>44165</v>
      </c>
      <c r="C4125" s="57" t="str">
        <f>IF(Ventas[[#This Row],[Fecha ]]="","",+TEXT(B4125,"mmmm"))</f>
        <v>noviembre</v>
      </c>
      <c r="D4125" s="57" t="str">
        <f>IFERROR(+VLOOKUP(Ventas[[#This Row],[Codigo de Producto]],Productos[#All],3,FALSE),"")</f>
        <v>Porcelana</v>
      </c>
      <c r="E4125" t="s">
        <v>708</v>
      </c>
      <c r="F4125" s="57" t="str">
        <f>IFERROR(+VLOOKUP(Ventas[[#This Row],[Codigo de Producto]],Productos[#All],4,FALSE),"")</f>
        <v xml:space="preserve">Porcelana Maya </v>
      </c>
      <c r="G4125">
        <v>3</v>
      </c>
      <c r="H4125">
        <v>60</v>
      </c>
      <c r="I4125" s="57">
        <f>IF(Ventas[[#This Row],[Cantidad]]="","",+Ventas[[#This Row],[Cantidad]]*Ventas[[#This Row],[Precio]])</f>
        <v>180</v>
      </c>
      <c r="J4125" s="57" t="str">
        <f>IFERROR(+VLOOKUP(Ventas[[#This Row],[Codigo de Producto]],Productos[#All],2,FALSE),"")</f>
        <v>Martinez</v>
      </c>
      <c r="K4125" s="57">
        <f>IFERROR(+VLOOKUP(Ventas[[#This Row],[Codigo de Producto]],Productos[#All],9,FALSE),"")</f>
        <v>33.333333333333336</v>
      </c>
      <c r="M4125" s="57">
        <f t="shared" si="1281"/>
        <v>100</v>
      </c>
      <c r="N4125" s="57">
        <f t="shared" si="1282"/>
        <v>80</v>
      </c>
    </row>
    <row r="4126" spans="1:14" x14ac:dyDescent="0.25">
      <c r="A4126">
        <v>364</v>
      </c>
      <c r="B4126" s="1">
        <v>44165</v>
      </c>
      <c r="C4126" s="57" t="str">
        <f>IF(Ventas[[#This Row],[Fecha ]]="","",+TEXT(B4126,"mmmm"))</f>
        <v>noviembre</v>
      </c>
      <c r="D4126" s="57" t="str">
        <f>IFERROR(+VLOOKUP(Ventas[[#This Row],[Codigo de Producto]],Productos[#All],3,FALSE),"")</f>
        <v>Cerámica</v>
      </c>
      <c r="E4126" t="s">
        <v>893</v>
      </c>
      <c r="F4126" s="57" t="str">
        <f>IFERROR(+VLOOKUP(Ventas[[#This Row],[Codigo de Producto]],Productos[#All],4,FALSE),"")</f>
        <v>Belén Marrón</v>
      </c>
      <c r="G4126">
        <v>13.55</v>
      </c>
      <c r="H4126">
        <v>295</v>
      </c>
      <c r="I4126" s="57">
        <f>IF(Ventas[[#This Row],[Cantidad]]="","",+Ventas[[#This Row],[Cantidad]]*Ventas[[#This Row],[Precio]])</f>
        <v>3997.25</v>
      </c>
      <c r="J4126" s="57" t="str">
        <f>IFERROR(+VLOOKUP(Ventas[[#This Row],[Codigo de Producto]],Productos[#All],2,FALSE),"")</f>
        <v>Dispiasa</v>
      </c>
      <c r="K4126" s="57">
        <f ca="1">IFERROR(+VLOOKUP(Ventas[[#This Row],[Codigo de Producto]],Productos[#All],9,FALSE),"")</f>
        <v>268</v>
      </c>
      <c r="M4126" s="57">
        <f t="shared" ca="1" si="1281"/>
        <v>3631.4</v>
      </c>
      <c r="N4126" s="57">
        <f t="shared" ca="1" si="1282"/>
        <v>365.84999999999991</v>
      </c>
    </row>
    <row r="4127" spans="1:14" x14ac:dyDescent="0.25">
      <c r="A4127">
        <v>365</v>
      </c>
      <c r="B4127" s="1">
        <v>44165</v>
      </c>
      <c r="C4127" s="57" t="str">
        <f>IF(Ventas[[#This Row],[Fecha ]]="","",+TEXT(B4127,"mmmm"))</f>
        <v>noviembre</v>
      </c>
      <c r="D4127" s="57" t="str">
        <f>IFERROR(+VLOOKUP(Ventas[[#This Row],[Codigo de Producto]],Productos[#All],3,FALSE),"")</f>
        <v>Bond</v>
      </c>
      <c r="E4127" t="s">
        <v>704</v>
      </c>
      <c r="F4127" s="57" t="str">
        <f>IFERROR(+VLOOKUP(Ventas[[#This Row],[Codigo de Producto]],Productos[#All],4,FALSE),"")</f>
        <v>Drytec Bond Plus</v>
      </c>
      <c r="G4127">
        <v>2</v>
      </c>
      <c r="H4127">
        <v>155</v>
      </c>
      <c r="I4127" s="57">
        <f>IF(Ventas[[#This Row],[Cantidad]]="","",+Ventas[[#This Row],[Cantidad]]*Ventas[[#This Row],[Precio]])</f>
        <v>310</v>
      </c>
      <c r="J4127" s="57" t="str">
        <f>IFERROR(+VLOOKUP(Ventas[[#This Row],[Codigo de Producto]],Productos[#All],2,FALSE),"")</f>
        <v>Comasa</v>
      </c>
      <c r="K4127" s="57">
        <f>IFERROR(+VLOOKUP(Ventas[[#This Row],[Codigo de Producto]],Productos[#All],9,FALSE),"")</f>
        <v>127</v>
      </c>
      <c r="M4127" s="57">
        <f t="shared" si="1281"/>
        <v>254</v>
      </c>
      <c r="N4127" s="57">
        <f t="shared" si="1282"/>
        <v>56</v>
      </c>
    </row>
    <row r="4128" spans="1:14" x14ac:dyDescent="0.25">
      <c r="A4128">
        <v>366</v>
      </c>
      <c r="B4128" s="1">
        <v>44165</v>
      </c>
      <c r="C4128" s="57" t="str">
        <f>IF(Ventas[[#This Row],[Fecha ]]="","",+TEXT(B4128,"mmmm"))</f>
        <v>noviembre</v>
      </c>
      <c r="D4128" s="57" t="str">
        <f>IFERROR(+VLOOKUP(Ventas[[#This Row],[Codigo de Producto]],Productos[#All],3,FALSE),"")</f>
        <v>Azulejos</v>
      </c>
      <c r="E4128" t="s">
        <v>627</v>
      </c>
      <c r="F4128" s="57" t="str">
        <f>IFERROR(+VLOOKUP(Ventas[[#This Row],[Codigo de Producto]],Productos[#All],4,FALSE),"")</f>
        <v>Palmira Beige Liso</v>
      </c>
      <c r="G4128">
        <v>12</v>
      </c>
      <c r="H4128">
        <v>295</v>
      </c>
      <c r="I4128" s="57">
        <f>IF(Ventas[[#This Row],[Cantidad]]="","",+Ventas[[#This Row],[Cantidad]]*Ventas[[#This Row],[Precio]])</f>
        <v>3540</v>
      </c>
      <c r="J4128" s="57" t="str">
        <f>IFERROR(+VLOOKUP(Ventas[[#This Row],[Codigo de Producto]],Productos[#All],2,FALSE),"")</f>
        <v>Dispiasa</v>
      </c>
      <c r="K4128" s="57">
        <f>IFERROR(+VLOOKUP(Ventas[[#This Row],[Codigo de Producto]],Productos[#All],9,FALSE),"")</f>
        <v>268</v>
      </c>
      <c r="M4128" s="57">
        <f t="shared" si="1281"/>
        <v>3216</v>
      </c>
      <c r="N4128" s="57">
        <f t="shared" si="1282"/>
        <v>324</v>
      </c>
    </row>
    <row r="4129" spans="1:14" x14ac:dyDescent="0.25">
      <c r="A4129">
        <v>367</v>
      </c>
      <c r="B4129" s="1">
        <v>44165</v>
      </c>
      <c r="C4129" s="57" t="str">
        <f>IF(Ventas[[#This Row],[Fecha ]]="","",+TEXT(B4129,"mmmm"))</f>
        <v>noviembre</v>
      </c>
      <c r="D4129" s="57" t="str">
        <f>IFERROR(+VLOOKUP(Ventas[[#This Row],[Codigo de Producto]],Productos[#All],3,FALSE),"")</f>
        <v>Cerámica</v>
      </c>
      <c r="E4129" t="s">
        <v>880</v>
      </c>
      <c r="F4129" s="57" t="str">
        <f>IFERROR(+VLOOKUP(Ventas[[#This Row],[Codigo de Producto]],Productos[#All],4,FALSE),"")</f>
        <v>Ebro Beige</v>
      </c>
      <c r="G4129">
        <v>2.66</v>
      </c>
      <c r="H4129">
        <v>295</v>
      </c>
      <c r="I4129" s="57">
        <f>IF(Ventas[[#This Row],[Cantidad]]="","",+Ventas[[#This Row],[Cantidad]]*Ventas[[#This Row],[Precio]])</f>
        <v>784.7</v>
      </c>
      <c r="J4129" s="57" t="str">
        <f>IFERROR(+VLOOKUP(Ventas[[#This Row],[Codigo de Producto]],Productos[#All],2,FALSE),"")</f>
        <v>Dispiasa</v>
      </c>
      <c r="K4129" s="57">
        <f ca="1">IFERROR(+VLOOKUP(Ventas[[#This Row],[Codigo de Producto]],Productos[#All],9,FALSE),"")</f>
        <v>268</v>
      </c>
      <c r="M4129" s="57">
        <f t="shared" ca="1" si="1281"/>
        <v>712.88</v>
      </c>
      <c r="N4129" s="57">
        <f t="shared" ca="1" si="1282"/>
        <v>71.82000000000005</v>
      </c>
    </row>
    <row r="4130" spans="1:14" x14ac:dyDescent="0.25">
      <c r="A4130">
        <v>368</v>
      </c>
      <c r="B4130" s="1">
        <v>44165</v>
      </c>
      <c r="C4130" s="57" t="str">
        <f>IF(Ventas[[#This Row],[Fecha ]]="","",+TEXT(B4130,"mmmm"))</f>
        <v>noviembre</v>
      </c>
      <c r="D4130" s="57" t="str">
        <f>IFERROR(+VLOOKUP(Ventas[[#This Row],[Codigo de Producto]],Productos[#All],3,FALSE),"")</f>
        <v>Bond</v>
      </c>
      <c r="E4130" t="s">
        <v>704</v>
      </c>
      <c r="F4130" s="57" t="str">
        <f>IFERROR(+VLOOKUP(Ventas[[#This Row],[Codigo de Producto]],Productos[#All],4,FALSE),"")</f>
        <v>Drytec Bond Plus</v>
      </c>
      <c r="G4130">
        <v>3</v>
      </c>
      <c r="H4130">
        <v>155</v>
      </c>
      <c r="I4130" s="57">
        <f>IF(Ventas[[#This Row],[Cantidad]]="","",+Ventas[[#This Row],[Cantidad]]*Ventas[[#This Row],[Precio]])</f>
        <v>465</v>
      </c>
      <c r="J4130" s="57" t="str">
        <f>IFERROR(+VLOOKUP(Ventas[[#This Row],[Codigo de Producto]],Productos[#All],2,FALSE),"")</f>
        <v>Comasa</v>
      </c>
      <c r="K4130" s="57">
        <f>IFERROR(+VLOOKUP(Ventas[[#This Row],[Codigo de Producto]],Productos[#All],9,FALSE),"")</f>
        <v>127</v>
      </c>
      <c r="M4130" s="57">
        <f t="shared" si="1281"/>
        <v>381</v>
      </c>
      <c r="N4130" s="57">
        <f t="shared" si="1282"/>
        <v>84</v>
      </c>
    </row>
    <row r="4131" spans="1:14" x14ac:dyDescent="0.25">
      <c r="A4131">
        <v>369</v>
      </c>
      <c r="B4131" s="1">
        <v>44165</v>
      </c>
      <c r="C4131" s="57" t="str">
        <f>IF(Ventas[[#This Row],[Fecha ]]="","",+TEXT(B4131,"mmmm"))</f>
        <v>noviembre</v>
      </c>
      <c r="D4131" s="57" t="str">
        <f>IFERROR(+VLOOKUP(Ventas[[#This Row],[Codigo de Producto]],Productos[#All],3,FALSE),"")</f>
        <v>Porcelana</v>
      </c>
      <c r="E4131" t="s">
        <v>708</v>
      </c>
      <c r="F4131" s="57" t="str">
        <f>IFERROR(+VLOOKUP(Ventas[[#This Row],[Codigo de Producto]],Productos[#All],4,FALSE),"")</f>
        <v xml:space="preserve">Porcelana Maya </v>
      </c>
      <c r="G4131">
        <v>4</v>
      </c>
      <c r="H4131">
        <v>60</v>
      </c>
      <c r="I4131" s="57">
        <f>IF(Ventas[[#This Row],[Cantidad]]="","",+Ventas[[#This Row],[Cantidad]]*Ventas[[#This Row],[Precio]])</f>
        <v>240</v>
      </c>
      <c r="J4131" s="57" t="str">
        <f>IFERROR(+VLOOKUP(Ventas[[#This Row],[Codigo de Producto]],Productos[#All],2,FALSE),"")</f>
        <v>Martinez</v>
      </c>
      <c r="K4131" s="57">
        <f>IFERROR(+VLOOKUP(Ventas[[#This Row],[Codigo de Producto]],Productos[#All],9,FALSE),"")</f>
        <v>33.333333333333336</v>
      </c>
      <c r="M4131" s="57">
        <f t="shared" si="1281"/>
        <v>133.33333333333334</v>
      </c>
      <c r="N4131" s="57">
        <f t="shared" si="1282"/>
        <v>106.66666666666666</v>
      </c>
    </row>
    <row r="4132" spans="1:14" x14ac:dyDescent="0.25">
      <c r="A4132">
        <v>370</v>
      </c>
      <c r="B4132" s="1">
        <v>44165</v>
      </c>
      <c r="C4132" s="57" t="str">
        <f>IF(Ventas[[#This Row],[Fecha ]]="","",+TEXT(B4132,"mmmm"))</f>
        <v>noviembre</v>
      </c>
      <c r="D4132" s="57" t="str">
        <f>IFERROR(+VLOOKUP(Ventas[[#This Row],[Codigo de Producto]],Productos[#All],3,FALSE),"")</f>
        <v>Inodoro</v>
      </c>
      <c r="E4132" t="s">
        <v>618</v>
      </c>
      <c r="F4132" s="57" t="str">
        <f>IFERROR(+VLOOKUP(Ventas[[#This Row],[Codigo de Producto]],Productos[#All],4,FALSE),"")</f>
        <v>Inodoro Aqua Blanco</v>
      </c>
      <c r="G4132">
        <v>1</v>
      </c>
      <c r="H4132">
        <v>1650</v>
      </c>
      <c r="I4132" s="57">
        <f>IF(Ventas[[#This Row],[Cantidad]]="","",+Ventas[[#This Row],[Cantidad]]*Ventas[[#This Row],[Precio]])</f>
        <v>1650</v>
      </c>
      <c r="J4132" s="57" t="str">
        <f>IFERROR(+VLOOKUP(Ventas[[#This Row],[Codigo de Producto]],Productos[#All],2,FALSE),"")</f>
        <v>Dispiasa</v>
      </c>
      <c r="K4132" s="57">
        <f>IFERROR(+VLOOKUP(Ventas[[#This Row],[Codigo de Producto]],Productos[#All],9,FALSE),"")</f>
        <v>1440</v>
      </c>
      <c r="M4132" s="57">
        <f t="shared" si="1281"/>
        <v>1440</v>
      </c>
      <c r="N4132" s="57">
        <f t="shared" si="1282"/>
        <v>210</v>
      </c>
    </row>
    <row r="4133" spans="1:14" x14ac:dyDescent="0.25">
      <c r="A4133">
        <v>371</v>
      </c>
      <c r="B4133" s="1">
        <v>44165</v>
      </c>
      <c r="C4133" s="57" t="str">
        <f>IF(Ventas[[#This Row],[Fecha ]]="","",+TEXT(B4133,"mmmm"))</f>
        <v>noviembre</v>
      </c>
      <c r="D4133" s="57" t="str">
        <f>IFERROR(+VLOOKUP(Ventas[[#This Row],[Codigo de Producto]],Productos[#All],3,FALSE),"")</f>
        <v>Inodoro</v>
      </c>
      <c r="E4133" t="s">
        <v>618</v>
      </c>
      <c r="F4133" s="57" t="str">
        <f>IFERROR(+VLOOKUP(Ventas[[#This Row],[Codigo de Producto]],Productos[#All],4,FALSE),"")</f>
        <v>Inodoro Aqua Blanco</v>
      </c>
      <c r="G4133">
        <v>1</v>
      </c>
      <c r="H4133">
        <v>1650</v>
      </c>
      <c r="I4133" s="57">
        <f>IF(Ventas[[#This Row],[Cantidad]]="","",+Ventas[[#This Row],[Cantidad]]*Ventas[[#This Row],[Precio]])</f>
        <v>1650</v>
      </c>
      <c r="J4133" s="57" t="str">
        <f>IFERROR(+VLOOKUP(Ventas[[#This Row],[Codigo de Producto]],Productos[#All],2,FALSE),"")</f>
        <v>Dispiasa</v>
      </c>
      <c r="K4133" s="57">
        <f>IFERROR(+VLOOKUP(Ventas[[#This Row],[Codigo de Producto]],Productos[#All],9,FALSE),"")</f>
        <v>1440</v>
      </c>
      <c r="M4133" s="57">
        <f t="shared" si="1281"/>
        <v>1440</v>
      </c>
      <c r="N4133" s="57">
        <f t="shared" si="1282"/>
        <v>210</v>
      </c>
    </row>
    <row r="4134" spans="1:14" x14ac:dyDescent="0.25">
      <c r="A4134">
        <v>372</v>
      </c>
      <c r="B4134" s="1">
        <v>44165</v>
      </c>
      <c r="C4134" s="57" t="str">
        <f>IF(Ventas[[#This Row],[Fecha ]]="","",+TEXT(B4134,"mmmm"))</f>
        <v>noviembre</v>
      </c>
      <c r="D4134" s="57" t="str">
        <f>IFERROR(+VLOOKUP(Ventas[[#This Row],[Codigo de Producto]],Productos[#All],3,FALSE),"")</f>
        <v>Inodoro</v>
      </c>
      <c r="E4134" t="s">
        <v>896</v>
      </c>
      <c r="F4134" s="57" t="str">
        <f>IFERROR(+VLOOKUP(Ventas[[#This Row],[Codigo de Producto]],Productos[#All],4,FALSE),"")</f>
        <v>Llave de pase de Inodoro</v>
      </c>
      <c r="G4134">
        <v>1</v>
      </c>
      <c r="H4134">
        <v>95</v>
      </c>
      <c r="I4134" s="57">
        <f>IF(Ventas[[#This Row],[Cantidad]]="","",+Ventas[[#This Row],[Cantidad]]*Ventas[[#This Row],[Precio]])</f>
        <v>95</v>
      </c>
      <c r="J4134" s="57" t="str">
        <f>IFERROR(+VLOOKUP(Ventas[[#This Row],[Codigo de Producto]],Productos[#All],2,FALSE),"")</f>
        <v>Silco</v>
      </c>
      <c r="K4134" s="57">
        <f ca="1">IFERROR(+VLOOKUP(Ventas[[#This Row],[Codigo de Producto]],Productos[#All],9,FALSE),"")</f>
        <v>0</v>
      </c>
      <c r="M4134" s="57" t="str">
        <f t="shared" ca="1" si="1281"/>
        <v/>
      </c>
      <c r="N4134" s="57" t="str">
        <f t="shared" ca="1" si="1282"/>
        <v/>
      </c>
    </row>
    <row r="4135" spans="1:14" x14ac:dyDescent="0.25">
      <c r="A4135">
        <v>373</v>
      </c>
      <c r="B4135" s="1">
        <v>44165</v>
      </c>
      <c r="C4135" s="57" t="str">
        <f>IF(Ventas[[#This Row],[Fecha ]]="","",+TEXT(B4135,"mmmm"))</f>
        <v>noviembre</v>
      </c>
      <c r="D4135" s="57" t="str">
        <f>IFERROR(+VLOOKUP(Ventas[[#This Row],[Codigo de Producto]],Productos[#All],3,FALSE),"")</f>
        <v>Cerámica</v>
      </c>
      <c r="E4135" t="s">
        <v>871</v>
      </c>
      <c r="F4135" s="57" t="str">
        <f>IFERROR(+VLOOKUP(Ventas[[#This Row],[Codigo de Producto]],Productos[#All],4,FALSE),"")</f>
        <v>Piso Incenor Plain White 58x58</v>
      </c>
      <c r="G4135">
        <v>29</v>
      </c>
      <c r="H4135">
        <v>255</v>
      </c>
      <c r="I4135" s="57">
        <f>IF(Ventas[[#This Row],[Cantidad]]="","",+Ventas[[#This Row],[Cantidad]]*Ventas[[#This Row],[Precio]])</f>
        <v>7395</v>
      </c>
      <c r="J4135" s="57" t="str">
        <f>IFERROR(+VLOOKUP(Ventas[[#This Row],[Codigo de Producto]],Productos[#All],2,FALSE),"")</f>
        <v>Halcón</v>
      </c>
      <c r="K4135" s="57">
        <f ca="1">IFERROR(+VLOOKUP(Ventas[[#This Row],[Codigo de Producto]],Productos[#All],9,FALSE),"")</f>
        <v>225</v>
      </c>
      <c r="M4135" s="57">
        <f t="shared" ca="1" si="1281"/>
        <v>6525</v>
      </c>
      <c r="N4135" s="57">
        <f t="shared" ca="1" si="1282"/>
        <v>870</v>
      </c>
    </row>
    <row r="4136" spans="1:14" x14ac:dyDescent="0.25">
      <c r="A4136">
        <v>374</v>
      </c>
      <c r="B4136" s="1">
        <v>44165</v>
      </c>
      <c r="C4136" s="57" t="str">
        <f>IF(Ventas[[#This Row],[Fecha ]]="","",+TEXT(B4136,"mmmm"))</f>
        <v>noviembre</v>
      </c>
      <c r="D4136" s="57" t="str">
        <f>IFERROR(+VLOOKUP(Ventas[[#This Row],[Codigo de Producto]],Productos[#All],3,FALSE),"")</f>
        <v>Bond</v>
      </c>
      <c r="E4136" t="s">
        <v>704</v>
      </c>
      <c r="F4136" s="57" t="str">
        <f>IFERROR(+VLOOKUP(Ventas[[#This Row],[Codigo de Producto]],Productos[#All],4,FALSE),"")</f>
        <v>Drytec Bond Plus</v>
      </c>
      <c r="G4136">
        <v>5</v>
      </c>
      <c r="H4136">
        <v>150</v>
      </c>
      <c r="I4136" s="57">
        <f>IF(Ventas[[#This Row],[Cantidad]]="","",+Ventas[[#This Row],[Cantidad]]*Ventas[[#This Row],[Precio]])</f>
        <v>750</v>
      </c>
      <c r="J4136" s="57" t="str">
        <f>IFERROR(+VLOOKUP(Ventas[[#This Row],[Codigo de Producto]],Productos[#All],2,FALSE),"")</f>
        <v>Comasa</v>
      </c>
      <c r="K4136" s="57">
        <f>IFERROR(+VLOOKUP(Ventas[[#This Row],[Codigo de Producto]],Productos[#All],9,FALSE),"")</f>
        <v>127</v>
      </c>
      <c r="M4136" s="57">
        <f t="shared" si="1281"/>
        <v>635</v>
      </c>
      <c r="N4136" s="57">
        <f t="shared" si="1282"/>
        <v>115</v>
      </c>
    </row>
    <row r="4137" spans="1:14" x14ac:dyDescent="0.25">
      <c r="A4137">
        <v>375</v>
      </c>
      <c r="B4137" s="1">
        <v>44165</v>
      </c>
      <c r="C4137" s="57" t="str">
        <f>IF(Ventas[[#This Row],[Fecha ]]="","",+TEXT(B4137,"mmmm"))</f>
        <v>noviembre</v>
      </c>
      <c r="D4137" s="57" t="str">
        <f>IFERROR(+VLOOKUP(Ventas[[#This Row],[Codigo de Producto]],Productos[#All],3,FALSE),"")</f>
        <v>Plasterbond</v>
      </c>
      <c r="E4137" t="s">
        <v>713</v>
      </c>
      <c r="F4137" s="57" t="str">
        <f>IFERROR(+VLOOKUP(Ventas[[#This Row],[Codigo de Producto]],Productos[#All],4,FALSE),"")</f>
        <v>Plasterbond Klebe</v>
      </c>
      <c r="G4137">
        <v>3.2</v>
      </c>
      <c r="H4137">
        <v>100</v>
      </c>
      <c r="I4137" s="57">
        <f>IF(Ventas[[#This Row],[Cantidad]]="","",+Ventas[[#This Row],[Cantidad]]*Ventas[[#This Row],[Precio]])</f>
        <v>320</v>
      </c>
      <c r="J4137" s="57" t="str">
        <f>IFERROR(+VLOOKUP(Ventas[[#This Row],[Codigo de Producto]],Productos[#All],2,FALSE),"")</f>
        <v>Aginsa</v>
      </c>
      <c r="K4137" s="57">
        <f>IFERROR(+VLOOKUP(Ventas[[#This Row],[Codigo de Producto]],Productos[#All],9,FALSE),"")</f>
        <v>80</v>
      </c>
      <c r="M4137" s="57">
        <f t="shared" si="1281"/>
        <v>256</v>
      </c>
      <c r="N4137" s="57">
        <f t="shared" si="1282"/>
        <v>64</v>
      </c>
    </row>
    <row r="4138" spans="1:14" x14ac:dyDescent="0.25">
      <c r="A4138">
        <v>376</v>
      </c>
      <c r="B4138" s="1">
        <v>44165</v>
      </c>
      <c r="C4138" s="57" t="str">
        <f>IF(Ventas[[#This Row],[Fecha ]]="","",+TEXT(B4138,"mmmm"))</f>
        <v>noviembre</v>
      </c>
      <c r="D4138" s="57" t="str">
        <f>IFERROR(+VLOOKUP(Ventas[[#This Row],[Codigo de Producto]],Productos[#All],3,FALSE),"")</f>
        <v>Bond</v>
      </c>
      <c r="E4138" t="s">
        <v>704</v>
      </c>
      <c r="F4138" s="57" t="str">
        <f>IFERROR(+VLOOKUP(Ventas[[#This Row],[Codigo de Producto]],Productos[#All],4,FALSE),"")</f>
        <v>Drytec Bond Plus</v>
      </c>
      <c r="G4138">
        <v>7</v>
      </c>
      <c r="H4138">
        <v>155</v>
      </c>
      <c r="I4138" s="57">
        <f>IF(Ventas[[#This Row],[Cantidad]]="","",+Ventas[[#This Row],[Cantidad]]*Ventas[[#This Row],[Precio]])</f>
        <v>1085</v>
      </c>
      <c r="J4138" s="57" t="str">
        <f>IFERROR(+VLOOKUP(Ventas[[#This Row],[Codigo de Producto]],Productos[#All],2,FALSE),"")</f>
        <v>Comasa</v>
      </c>
      <c r="K4138" s="57">
        <f>IFERROR(+VLOOKUP(Ventas[[#This Row],[Codigo de Producto]],Productos[#All],9,FALSE),"")</f>
        <v>127</v>
      </c>
      <c r="M4138" s="57">
        <f t="shared" si="1281"/>
        <v>889</v>
      </c>
      <c r="N4138" s="57">
        <f t="shared" si="1282"/>
        <v>196</v>
      </c>
    </row>
    <row r="4139" spans="1:14" x14ac:dyDescent="0.25">
      <c r="A4139">
        <v>377</v>
      </c>
      <c r="B4139" s="1">
        <v>44165</v>
      </c>
      <c r="C4139" s="57" t="str">
        <f>IF(Ventas[[#This Row],[Fecha ]]="","",+TEXT(B4139,"mmmm"))</f>
        <v>noviembre</v>
      </c>
      <c r="D4139" s="57" t="str">
        <f>IFERROR(+VLOOKUP(Ventas[[#This Row],[Codigo de Producto]],Productos[#All],3,FALSE),"")</f>
        <v>Porcelana</v>
      </c>
      <c r="E4139" t="s">
        <v>708</v>
      </c>
      <c r="F4139" s="57" t="str">
        <f>IFERROR(+VLOOKUP(Ventas[[#This Row],[Codigo de Producto]],Productos[#All],4,FALSE),"")</f>
        <v xml:space="preserve">Porcelana Maya </v>
      </c>
      <c r="G4139">
        <v>4</v>
      </c>
      <c r="H4139">
        <v>60</v>
      </c>
      <c r="I4139" s="57">
        <f>IF(Ventas[[#This Row],[Cantidad]]="","",+Ventas[[#This Row],[Cantidad]]*Ventas[[#This Row],[Precio]])</f>
        <v>240</v>
      </c>
      <c r="J4139" s="57" t="str">
        <f>IFERROR(+VLOOKUP(Ventas[[#This Row],[Codigo de Producto]],Productos[#All],2,FALSE),"")</f>
        <v>Martinez</v>
      </c>
      <c r="K4139" s="57">
        <f>IFERROR(+VLOOKUP(Ventas[[#This Row],[Codigo de Producto]],Productos[#All],9,FALSE),"")</f>
        <v>33.333333333333336</v>
      </c>
      <c r="M4139" s="57">
        <f t="shared" si="1281"/>
        <v>133.33333333333334</v>
      </c>
      <c r="N4139" s="57">
        <f t="shared" si="1282"/>
        <v>106.66666666666666</v>
      </c>
    </row>
    <row r="4140" spans="1:14" x14ac:dyDescent="0.25">
      <c r="A4140">
        <v>378</v>
      </c>
      <c r="B4140" s="1">
        <v>44165</v>
      </c>
      <c r="C4140" s="57" t="str">
        <f>IF(Ventas[[#This Row],[Fecha ]]="","",+TEXT(B4140,"mmmm"))</f>
        <v>noviembre</v>
      </c>
      <c r="D4140" s="57" t="str">
        <f>IFERROR(+VLOOKUP(Ventas[[#This Row],[Codigo de Producto]],Productos[#All],3,FALSE),"")</f>
        <v>Cerámica</v>
      </c>
      <c r="E4140" t="s">
        <v>892</v>
      </c>
      <c r="F4140" s="57" t="str">
        <f>IFERROR(+VLOOKUP(Ventas[[#This Row],[Codigo de Producto]],Productos[#All],4,FALSE),"")</f>
        <v>Babilonia Blanco</v>
      </c>
      <c r="G4140">
        <v>18</v>
      </c>
      <c r="H4140">
        <v>240</v>
      </c>
      <c r="I4140" s="57">
        <f>IF(Ventas[[#This Row],[Cantidad]]="","",+Ventas[[#This Row],[Cantidad]]*Ventas[[#This Row],[Precio]])</f>
        <v>4320</v>
      </c>
      <c r="J4140" s="57" t="str">
        <f>IFERROR(+VLOOKUP(Ventas[[#This Row],[Codigo de Producto]],Productos[#All],2,FALSE),"")</f>
        <v>Comasa</v>
      </c>
      <c r="K4140" s="57">
        <f ca="1">IFERROR(+VLOOKUP(Ventas[[#This Row],[Codigo de Producto]],Productos[#All],9,FALSE),"")</f>
        <v>216.82</v>
      </c>
      <c r="M4140" s="57">
        <f t="shared" ca="1" si="1281"/>
        <v>3902.7599999999998</v>
      </c>
      <c r="N4140" s="57">
        <f t="shared" ca="1" si="1282"/>
        <v>417.24000000000024</v>
      </c>
    </row>
    <row r="4141" spans="1:14" x14ac:dyDescent="0.25">
      <c r="A4141">
        <v>379</v>
      </c>
      <c r="B4141" s="1">
        <v>44165</v>
      </c>
      <c r="C4141" s="57" t="str">
        <f>IF(Ventas[[#This Row],[Fecha ]]="","",+TEXT(B4141,"mmmm"))</f>
        <v>noviembre</v>
      </c>
      <c r="D4141" s="57" t="str">
        <f>IFERROR(+VLOOKUP(Ventas[[#This Row],[Codigo de Producto]],Productos[#All],3,FALSE),"")</f>
        <v>Separadores</v>
      </c>
      <c r="E4141" t="s">
        <v>721</v>
      </c>
      <c r="F4141" s="57" t="str">
        <f>IFERROR(+VLOOKUP(Ventas[[#This Row],[Codigo de Producto]],Productos[#All],4,FALSE),"")</f>
        <v>Separadores de 4 mm</v>
      </c>
      <c r="G4141">
        <v>2</v>
      </c>
      <c r="H4141">
        <v>35</v>
      </c>
      <c r="I4141" s="57">
        <f>IF(Ventas[[#This Row],[Cantidad]]="","",+Ventas[[#This Row],[Cantidad]]*Ventas[[#This Row],[Precio]])</f>
        <v>70</v>
      </c>
      <c r="J4141" s="57" t="str">
        <f>IFERROR(+VLOOKUP(Ventas[[#This Row],[Codigo de Producto]],Productos[#All],2,FALSE),"")</f>
        <v>Silco</v>
      </c>
      <c r="K4141" s="57">
        <f>IFERROR(+VLOOKUP(Ventas[[#This Row],[Codigo de Producto]],Productos[#All],9,FALSE),"")</f>
        <v>22</v>
      </c>
      <c r="M4141" s="57">
        <f t="shared" si="1281"/>
        <v>44</v>
      </c>
      <c r="N4141" s="57">
        <f t="shared" si="1282"/>
        <v>26</v>
      </c>
    </row>
    <row r="4142" spans="1:14" x14ac:dyDescent="0.25">
      <c r="A4142">
        <v>380</v>
      </c>
      <c r="B4142" s="1">
        <v>44165</v>
      </c>
      <c r="C4142" s="57" t="str">
        <f>IF(Ventas[[#This Row],[Fecha ]]="","",+TEXT(B4142,"mmmm"))</f>
        <v>noviembre</v>
      </c>
      <c r="D4142" s="57" t="str">
        <f>IFERROR(+VLOOKUP(Ventas[[#This Row],[Codigo de Producto]],Productos[#All],3,FALSE),"")</f>
        <v>Plasterbond</v>
      </c>
      <c r="E4142" t="s">
        <v>713</v>
      </c>
      <c r="F4142" s="57" t="str">
        <f>IFERROR(+VLOOKUP(Ventas[[#This Row],[Codigo de Producto]],Productos[#All],4,FALSE),"")</f>
        <v>Plasterbond Klebe</v>
      </c>
      <c r="G4142">
        <v>3.2</v>
      </c>
      <c r="H4142">
        <v>100</v>
      </c>
      <c r="I4142" s="57">
        <f>IF(Ventas[[#This Row],[Cantidad]]="","",+Ventas[[#This Row],[Cantidad]]*Ventas[[#This Row],[Precio]])</f>
        <v>320</v>
      </c>
      <c r="J4142" s="57" t="str">
        <f>IFERROR(+VLOOKUP(Ventas[[#This Row],[Codigo de Producto]],Productos[#All],2,FALSE),"")</f>
        <v>Aginsa</v>
      </c>
      <c r="K4142" s="57">
        <f>IFERROR(+VLOOKUP(Ventas[[#This Row],[Codigo de Producto]],Productos[#All],9,FALSE),"")</f>
        <v>80</v>
      </c>
      <c r="M4142" s="57">
        <f t="shared" si="1281"/>
        <v>256</v>
      </c>
      <c r="N4142" s="57">
        <f t="shared" si="1282"/>
        <v>64</v>
      </c>
    </row>
    <row r="4143" spans="1:14" x14ac:dyDescent="0.25">
      <c r="A4143">
        <v>381</v>
      </c>
      <c r="B4143" s="1">
        <v>44165</v>
      </c>
      <c r="C4143" s="57" t="str">
        <f>IF(Ventas[[#This Row],[Fecha ]]="","",+TEXT(B4143,"mmmm"))</f>
        <v>noviembre</v>
      </c>
      <c r="D4143" s="57" t="str">
        <f>IFERROR(+VLOOKUP(Ventas[[#This Row],[Codigo de Producto]],Productos[#All],3,FALSE),"")</f>
        <v>Cerámica</v>
      </c>
      <c r="E4143" t="s">
        <v>881</v>
      </c>
      <c r="F4143" s="57" t="str">
        <f>IFERROR(+VLOOKUP(Ventas[[#This Row],[Codigo de Producto]],Productos[#All],4,FALSE),"")</f>
        <v>Natal Marrón</v>
      </c>
      <c r="G4143">
        <v>12</v>
      </c>
      <c r="H4143">
        <v>240</v>
      </c>
      <c r="I4143" s="57">
        <f>IF(Ventas[[#This Row],[Cantidad]]="","",+Ventas[[#This Row],[Cantidad]]*Ventas[[#This Row],[Precio]])</f>
        <v>2880</v>
      </c>
      <c r="J4143" s="57" t="str">
        <f>IFERROR(+VLOOKUP(Ventas[[#This Row],[Codigo de Producto]],Productos[#All],2,FALSE),"")</f>
        <v>Dispiasa</v>
      </c>
      <c r="K4143" s="57">
        <f ca="1">IFERROR(+VLOOKUP(Ventas[[#This Row],[Codigo de Producto]],Productos[#All],9,FALSE),"")</f>
        <v>207</v>
      </c>
      <c r="M4143" s="57">
        <f t="shared" ca="1" si="1281"/>
        <v>2484</v>
      </c>
      <c r="N4143" s="57">
        <f t="shared" ca="1" si="1282"/>
        <v>396</v>
      </c>
    </row>
    <row r="4144" spans="1:14" x14ac:dyDescent="0.25">
      <c r="A4144">
        <v>382</v>
      </c>
      <c r="B4144" s="1">
        <v>44165</v>
      </c>
      <c r="C4144" s="57" t="str">
        <f>IF(Ventas[[#This Row],[Fecha ]]="","",+TEXT(B4144,"mmmm"))</f>
        <v>noviembre</v>
      </c>
      <c r="D4144" s="57" t="str">
        <f>IFERROR(+VLOOKUP(Ventas[[#This Row],[Codigo de Producto]],Productos[#All],3,FALSE),"")</f>
        <v>Azulejos</v>
      </c>
      <c r="E4144" t="s">
        <v>669</v>
      </c>
      <c r="F4144" s="57" t="str">
        <f>IFERROR(+VLOOKUP(Ventas[[#This Row],[Codigo de Producto]],Productos[#All],4,FALSE),"")</f>
        <v>Baleares Azul Liso</v>
      </c>
      <c r="G4144">
        <v>4</v>
      </c>
      <c r="H4144">
        <v>300</v>
      </c>
      <c r="I4144" s="57">
        <f>IF(Ventas[[#This Row],[Cantidad]]="","",+Ventas[[#This Row],[Cantidad]]*Ventas[[#This Row],[Precio]])</f>
        <v>1200</v>
      </c>
      <c r="J4144" s="57" t="str">
        <f>IFERROR(+VLOOKUP(Ventas[[#This Row],[Codigo de Producto]],Productos[#All],2,FALSE),"")</f>
        <v>Dispiasa</v>
      </c>
      <c r="K4144" s="57">
        <f>IFERROR(+VLOOKUP(Ventas[[#This Row],[Codigo de Producto]],Productos[#All],9,FALSE),"")</f>
        <v>268</v>
      </c>
      <c r="M4144" s="57">
        <f t="shared" si="1281"/>
        <v>1072</v>
      </c>
      <c r="N4144" s="57">
        <f t="shared" si="1282"/>
        <v>128</v>
      </c>
    </row>
    <row r="4145" spans="1:14" x14ac:dyDescent="0.25">
      <c r="A4145">
        <v>383</v>
      </c>
      <c r="B4145" s="1">
        <v>44165</v>
      </c>
      <c r="C4145" s="57" t="str">
        <f>IF(Ventas[[#This Row],[Fecha ]]="","",+TEXT(B4145,"mmmm"))</f>
        <v>noviembre</v>
      </c>
      <c r="D4145" s="57" t="str">
        <f>IFERROR(+VLOOKUP(Ventas[[#This Row],[Codigo de Producto]],Productos[#All],3,FALSE),"")</f>
        <v>Bond</v>
      </c>
      <c r="E4145" t="s">
        <v>704</v>
      </c>
      <c r="F4145" s="57" t="str">
        <f>IFERROR(+VLOOKUP(Ventas[[#This Row],[Codigo de Producto]],Productos[#All],4,FALSE),"")</f>
        <v>Drytec Bond Plus</v>
      </c>
      <c r="G4145">
        <v>13</v>
      </c>
      <c r="H4145">
        <v>155</v>
      </c>
      <c r="I4145" s="57">
        <f>IF(Ventas[[#This Row],[Cantidad]]="","",+Ventas[[#This Row],[Cantidad]]*Ventas[[#This Row],[Precio]])</f>
        <v>2015</v>
      </c>
      <c r="J4145" s="57" t="str">
        <f>IFERROR(+VLOOKUP(Ventas[[#This Row],[Codigo de Producto]],Productos[#All],2,FALSE),"")</f>
        <v>Comasa</v>
      </c>
      <c r="K4145" s="57">
        <f>IFERROR(+VLOOKUP(Ventas[[#This Row],[Codigo de Producto]],Productos[#All],9,FALSE),"")</f>
        <v>127</v>
      </c>
      <c r="M4145" s="57">
        <f t="shared" si="1281"/>
        <v>1651</v>
      </c>
      <c r="N4145" s="57">
        <f t="shared" si="1282"/>
        <v>364</v>
      </c>
    </row>
    <row r="4146" spans="1:14" x14ac:dyDescent="0.25">
      <c r="A4146">
        <v>384</v>
      </c>
      <c r="B4146" s="1">
        <v>44165</v>
      </c>
      <c r="C4146" s="57" t="str">
        <f>IF(Ventas[[#This Row],[Fecha ]]="","",+TEXT(B4146,"mmmm"))</f>
        <v>noviembre</v>
      </c>
      <c r="D4146" s="57" t="str">
        <f>IFERROR(+VLOOKUP(Ventas[[#This Row],[Codigo de Producto]],Productos[#All],3,FALSE),"")</f>
        <v>Porcelana</v>
      </c>
      <c r="E4146" t="s">
        <v>708</v>
      </c>
      <c r="F4146" s="57" t="str">
        <f>IFERROR(+VLOOKUP(Ventas[[#This Row],[Codigo de Producto]],Productos[#All],4,FALSE),"")</f>
        <v xml:space="preserve">Porcelana Maya </v>
      </c>
      <c r="G4146">
        <v>7</v>
      </c>
      <c r="H4146">
        <v>60</v>
      </c>
      <c r="I4146" s="57">
        <f>IF(Ventas[[#This Row],[Cantidad]]="","",+Ventas[[#This Row],[Cantidad]]*Ventas[[#This Row],[Precio]])</f>
        <v>420</v>
      </c>
      <c r="J4146" s="57" t="str">
        <f>IFERROR(+VLOOKUP(Ventas[[#This Row],[Codigo de Producto]],Productos[#All],2,FALSE),"")</f>
        <v>Martinez</v>
      </c>
      <c r="K4146" s="57">
        <f>IFERROR(+VLOOKUP(Ventas[[#This Row],[Codigo de Producto]],Productos[#All],9,FALSE),"")</f>
        <v>33.333333333333336</v>
      </c>
      <c r="M4146" s="57">
        <f t="shared" si="1281"/>
        <v>233.33333333333334</v>
      </c>
      <c r="N4146" s="57">
        <f t="shared" si="1282"/>
        <v>186.66666666666666</v>
      </c>
    </row>
    <row r="4147" spans="1:14" x14ac:dyDescent="0.25">
      <c r="A4147">
        <v>385</v>
      </c>
      <c r="B4147" s="1">
        <v>44165</v>
      </c>
      <c r="C4147" s="57" t="str">
        <f>IF(Ventas[[#This Row],[Fecha ]]="","",+TEXT(B4147,"mmmm"))</f>
        <v>noviembre</v>
      </c>
      <c r="D4147" s="57" t="str">
        <f>IFERROR(+VLOOKUP(Ventas[[#This Row],[Codigo de Producto]],Productos[#All],3,FALSE),"")</f>
        <v>Separadores</v>
      </c>
      <c r="E4147" t="s">
        <v>720</v>
      </c>
      <c r="F4147" s="57" t="str">
        <f>IFERROR(+VLOOKUP(Ventas[[#This Row],[Codigo de Producto]],Productos[#All],4,FALSE),"")</f>
        <v>Separadores de 3 mm</v>
      </c>
      <c r="G4147">
        <v>1</v>
      </c>
      <c r="H4147">
        <v>35</v>
      </c>
      <c r="I4147" s="57">
        <f>IF(Ventas[[#This Row],[Cantidad]]="","",+Ventas[[#This Row],[Cantidad]]*Ventas[[#This Row],[Precio]])</f>
        <v>35</v>
      </c>
      <c r="J4147" s="57" t="str">
        <f>IFERROR(+VLOOKUP(Ventas[[#This Row],[Codigo de Producto]],Productos[#All],2,FALSE),"")</f>
        <v>Silco</v>
      </c>
      <c r="K4147" s="57">
        <f>IFERROR(+VLOOKUP(Ventas[[#This Row],[Codigo de Producto]],Productos[#All],9,FALSE),"")</f>
        <v>26</v>
      </c>
      <c r="M4147" s="57">
        <f t="shared" si="1281"/>
        <v>26</v>
      </c>
      <c r="N4147" s="57">
        <f t="shared" si="1282"/>
        <v>9</v>
      </c>
    </row>
    <row r="4148" spans="1:14" x14ac:dyDescent="0.25">
      <c r="A4148">
        <v>386</v>
      </c>
      <c r="B4148" s="1">
        <v>44165</v>
      </c>
      <c r="C4148" s="57" t="str">
        <f>IF(Ventas[[#This Row],[Fecha ]]="","",+TEXT(B4148,"mmmm"))</f>
        <v>noviembre</v>
      </c>
      <c r="D4148" s="57" t="str">
        <f>IFERROR(+VLOOKUP(Ventas[[#This Row],[Codigo de Producto]],Productos[#All],3,FALSE),"")</f>
        <v>Cerámica</v>
      </c>
      <c r="E4148" t="s">
        <v>645</v>
      </c>
      <c r="F4148" s="57" t="str">
        <f>IFERROR(+VLOOKUP(Ventas[[#This Row],[Codigo de Producto]],Productos[#All],4,FALSE),"")</f>
        <v>822 Roble</v>
      </c>
      <c r="G4148">
        <v>1</v>
      </c>
      <c r="H4148">
        <v>240</v>
      </c>
      <c r="I4148" s="57">
        <f>IF(Ventas[[#This Row],[Cantidad]]="","",+Ventas[[#This Row],[Cantidad]]*Ventas[[#This Row],[Precio]])</f>
        <v>240</v>
      </c>
      <c r="J4148" s="57" t="str">
        <f>IFERROR(+VLOOKUP(Ventas[[#This Row],[Codigo de Producto]],Productos[#All],2,FALSE),"")</f>
        <v>Dispiasa</v>
      </c>
      <c r="K4148" s="57">
        <f>IFERROR(+VLOOKUP(Ventas[[#This Row],[Codigo de Producto]],Productos[#All],9,FALSE),"")</f>
        <v>207</v>
      </c>
      <c r="M4148" s="57">
        <f t="shared" si="1281"/>
        <v>207</v>
      </c>
      <c r="N4148" s="57">
        <f t="shared" si="1282"/>
        <v>33</v>
      </c>
    </row>
    <row r="4149" spans="1:14" x14ac:dyDescent="0.25">
      <c r="A4149">
        <v>387</v>
      </c>
      <c r="B4149" s="1">
        <v>44165</v>
      </c>
      <c r="C4149" s="57" t="str">
        <f>IF(Ventas[[#This Row],[Fecha ]]="","",+TEXT(B4149,"mmmm"))</f>
        <v>noviembre</v>
      </c>
      <c r="D4149" s="57" t="str">
        <f>IFERROR(+VLOOKUP(Ventas[[#This Row],[Codigo de Producto]],Productos[#All],3,FALSE),"")</f>
        <v>Cerámica</v>
      </c>
      <c r="E4149" t="s">
        <v>871</v>
      </c>
      <c r="F4149" s="57" t="str">
        <f>IFERROR(+VLOOKUP(Ventas[[#This Row],[Codigo de Producto]],Productos[#All],4,FALSE),"")</f>
        <v>Piso Incenor Plain White 58x58</v>
      </c>
      <c r="G4149">
        <v>7</v>
      </c>
      <c r="H4149">
        <v>255</v>
      </c>
      <c r="I4149" s="57">
        <f>IF(Ventas[[#This Row],[Cantidad]]="","",+Ventas[[#This Row],[Cantidad]]*Ventas[[#This Row],[Precio]])</f>
        <v>1785</v>
      </c>
      <c r="J4149" s="57" t="str">
        <f>IFERROR(+VLOOKUP(Ventas[[#This Row],[Codigo de Producto]],Productos[#All],2,FALSE),"")</f>
        <v>Halcón</v>
      </c>
      <c r="K4149" s="57">
        <f ca="1">IFERROR(+VLOOKUP(Ventas[[#This Row],[Codigo de Producto]],Productos[#All],9,FALSE),"")</f>
        <v>225</v>
      </c>
      <c r="M4149" s="57">
        <f t="shared" ca="1" si="1281"/>
        <v>1575</v>
      </c>
      <c r="N4149" s="57">
        <f t="shared" ca="1" si="1282"/>
        <v>210</v>
      </c>
    </row>
    <row r="4150" spans="1:14" x14ac:dyDescent="0.25">
      <c r="A4150">
        <v>388</v>
      </c>
      <c r="B4150" s="1">
        <v>44165</v>
      </c>
      <c r="C4150" s="57" t="str">
        <f>IF(Ventas[[#This Row],[Fecha ]]="","",+TEXT(B4150,"mmmm"))</f>
        <v>noviembre</v>
      </c>
      <c r="D4150" s="57" t="str">
        <f>IFERROR(+VLOOKUP(Ventas[[#This Row],[Codigo de Producto]],Productos[#All],3,FALSE),"")</f>
        <v>Cerámica</v>
      </c>
      <c r="E4150" t="s">
        <v>892</v>
      </c>
      <c r="F4150" s="57" t="str">
        <f>IFERROR(+VLOOKUP(Ventas[[#This Row],[Codigo de Producto]],Productos[#All],4,FALSE),"")</f>
        <v>Babilonia Blanco</v>
      </c>
      <c r="G4150">
        <v>3</v>
      </c>
      <c r="H4150">
        <v>240</v>
      </c>
      <c r="I4150" s="57">
        <f>IF(Ventas[[#This Row],[Cantidad]]="","",+Ventas[[#This Row],[Cantidad]]*Ventas[[#This Row],[Precio]])</f>
        <v>720</v>
      </c>
      <c r="J4150" s="57" t="str">
        <f>IFERROR(+VLOOKUP(Ventas[[#This Row],[Codigo de Producto]],Productos[#All],2,FALSE),"")</f>
        <v>Comasa</v>
      </c>
      <c r="K4150" s="57">
        <f ca="1">IFERROR(+VLOOKUP(Ventas[[#This Row],[Codigo de Producto]],Productos[#All],9,FALSE),"")</f>
        <v>216.82</v>
      </c>
      <c r="M4150" s="57">
        <f t="shared" ca="1" si="1281"/>
        <v>650.46</v>
      </c>
      <c r="N4150" s="57">
        <f t="shared" ca="1" si="1282"/>
        <v>69.539999999999964</v>
      </c>
    </row>
    <row r="4151" spans="1:14" x14ac:dyDescent="0.25">
      <c r="A4151">
        <v>389</v>
      </c>
      <c r="B4151" s="1">
        <v>44165</v>
      </c>
      <c r="C4151" s="57" t="str">
        <f>IF(Ventas[[#This Row],[Fecha ]]="","",+TEXT(B4151,"mmmm"))</f>
        <v>noviembre</v>
      </c>
      <c r="D4151" s="57" t="str">
        <f>IFERROR(+VLOOKUP(Ventas[[#This Row],[Codigo de Producto]],Productos[#All],3,FALSE),"")</f>
        <v>Cerámica</v>
      </c>
      <c r="E4151" t="s">
        <v>881</v>
      </c>
      <c r="F4151" s="57" t="str">
        <f>IFERROR(+VLOOKUP(Ventas[[#This Row],[Codigo de Producto]],Productos[#All],4,FALSE),"")</f>
        <v>Natal Marrón</v>
      </c>
      <c r="G4151">
        <f>4/10</f>
        <v>0.4</v>
      </c>
      <c r="H4151">
        <v>240</v>
      </c>
      <c r="I4151" s="57">
        <f>IF(Ventas[[#This Row],[Cantidad]]="","",+Ventas[[#This Row],[Cantidad]]*Ventas[[#This Row],[Precio]])</f>
        <v>96</v>
      </c>
      <c r="J4151" s="57" t="str">
        <f>IFERROR(+VLOOKUP(Ventas[[#This Row],[Codigo de Producto]],Productos[#All],2,FALSE),"")</f>
        <v>Dispiasa</v>
      </c>
      <c r="K4151" s="57">
        <f ca="1">IFERROR(+VLOOKUP(Ventas[[#This Row],[Codigo de Producto]],Productos[#All],9,FALSE),"")</f>
        <v>207</v>
      </c>
      <c r="M4151" s="57">
        <f t="shared" ca="1" si="1281"/>
        <v>82.800000000000011</v>
      </c>
      <c r="N4151" s="57">
        <f t="shared" ca="1" si="1282"/>
        <v>13.199999999999989</v>
      </c>
    </row>
    <row r="4152" spans="1:14" x14ac:dyDescent="0.25">
      <c r="A4152">
        <v>390</v>
      </c>
      <c r="B4152" s="1">
        <v>44165</v>
      </c>
      <c r="C4152" s="57" t="str">
        <f>IF(Ventas[[#This Row],[Fecha ]]="","",+TEXT(B4152,"mmmm"))</f>
        <v>noviembre</v>
      </c>
      <c r="D4152" s="57" t="str">
        <f>IFERROR(+VLOOKUP(Ventas[[#This Row],[Codigo de Producto]],Productos[#All],3,FALSE),"")</f>
        <v>Cerámica</v>
      </c>
      <c r="E4152" t="s">
        <v>691</v>
      </c>
      <c r="F4152" s="57" t="str">
        <f>IFERROR(+VLOOKUP(Ventas[[#This Row],[Codigo de Producto]],Productos[#All],4,FALSE),"")</f>
        <v>Madera Dinizia Oscuro</v>
      </c>
      <c r="G4152">
        <v>8</v>
      </c>
      <c r="H4152">
        <v>240</v>
      </c>
      <c r="I4152" s="57">
        <f>IF(Ventas[[#This Row],[Cantidad]]="","",+Ventas[[#This Row],[Cantidad]]*Ventas[[#This Row],[Precio]])</f>
        <v>1920</v>
      </c>
      <c r="J4152" s="57" t="str">
        <f>IFERROR(+VLOOKUP(Ventas[[#This Row],[Codigo de Producto]],Productos[#All],2,FALSE),"")</f>
        <v>Comasa</v>
      </c>
      <c r="K4152" s="57">
        <f>IFERROR(+VLOOKUP(Ventas[[#This Row],[Codigo de Producto]],Productos[#All],9,FALSE),"")</f>
        <v>212</v>
      </c>
      <c r="M4152" s="57">
        <f t="shared" si="1281"/>
        <v>1696</v>
      </c>
      <c r="N4152" s="57">
        <f t="shared" si="1282"/>
        <v>224</v>
      </c>
    </row>
    <row r="4153" spans="1:14" x14ac:dyDescent="0.25">
      <c r="A4153">
        <v>391</v>
      </c>
      <c r="B4153" s="1">
        <v>44165</v>
      </c>
      <c r="C4153" s="57" t="str">
        <f>IF(Ventas[[#This Row],[Fecha ]]="","",+TEXT(B4153,"mmmm"))</f>
        <v>noviembre</v>
      </c>
      <c r="D4153" s="57" t="str">
        <f>IFERROR(+VLOOKUP(Ventas[[#This Row],[Codigo de Producto]],Productos[#All],3,FALSE),"")</f>
        <v>Separadores</v>
      </c>
      <c r="E4153" t="s">
        <v>720</v>
      </c>
      <c r="F4153" s="57" t="str">
        <f>IFERROR(+VLOOKUP(Ventas[[#This Row],[Codigo de Producto]],Productos[#All],4,FALSE),"")</f>
        <v>Separadores de 3 mm</v>
      </c>
      <c r="G4153">
        <v>1</v>
      </c>
      <c r="H4153">
        <v>35</v>
      </c>
      <c r="I4153" s="57">
        <f>IF(Ventas[[#This Row],[Cantidad]]="","",+Ventas[[#This Row],[Cantidad]]*Ventas[[#This Row],[Precio]])</f>
        <v>35</v>
      </c>
      <c r="J4153" s="57" t="str">
        <f>IFERROR(+VLOOKUP(Ventas[[#This Row],[Codigo de Producto]],Productos[#All],2,FALSE),"")</f>
        <v>Silco</v>
      </c>
      <c r="K4153" s="57">
        <f>IFERROR(+VLOOKUP(Ventas[[#This Row],[Codigo de Producto]],Productos[#All],9,FALSE),"")</f>
        <v>26</v>
      </c>
      <c r="M4153" s="57">
        <f t="shared" si="1281"/>
        <v>26</v>
      </c>
      <c r="N4153" s="57">
        <f t="shared" si="1282"/>
        <v>9</v>
      </c>
    </row>
    <row r="4154" spans="1:14" x14ac:dyDescent="0.25">
      <c r="A4154">
        <v>392</v>
      </c>
      <c r="B4154" s="1">
        <v>44165</v>
      </c>
      <c r="C4154" s="57" t="str">
        <f>IF(Ventas[[#This Row],[Fecha ]]="","",+TEXT(B4154,"mmmm"))</f>
        <v>noviembre</v>
      </c>
      <c r="D4154" s="57" t="str">
        <f>IFERROR(+VLOOKUP(Ventas[[#This Row],[Codigo de Producto]],Productos[#All],3,FALSE),"")</f>
        <v>Cerámica</v>
      </c>
      <c r="E4154" t="s">
        <v>892</v>
      </c>
      <c r="F4154" s="57" t="str">
        <f>IFERROR(+VLOOKUP(Ventas[[#This Row],[Codigo de Producto]],Productos[#All],4,FALSE),"")</f>
        <v>Babilonia Blanco</v>
      </c>
      <c r="G4154">
        <v>9.5</v>
      </c>
      <c r="H4154">
        <v>240</v>
      </c>
      <c r="I4154" s="57">
        <f>IF(Ventas[[#This Row],[Cantidad]]="","",+Ventas[[#This Row],[Cantidad]]*Ventas[[#This Row],[Precio]])</f>
        <v>2280</v>
      </c>
      <c r="J4154" s="57" t="str">
        <f>IFERROR(+VLOOKUP(Ventas[[#This Row],[Codigo de Producto]],Productos[#All],2,FALSE),"")</f>
        <v>Comasa</v>
      </c>
      <c r="K4154" s="57">
        <f ca="1">IFERROR(+VLOOKUP(Ventas[[#This Row],[Codigo de Producto]],Productos[#All],9,FALSE),"")</f>
        <v>216.82</v>
      </c>
      <c r="M4154" s="57">
        <f t="shared" ca="1" si="1281"/>
        <v>2059.79</v>
      </c>
      <c r="N4154" s="57">
        <f t="shared" ca="1" si="1282"/>
        <v>220.21000000000004</v>
      </c>
    </row>
    <row r="4155" spans="1:14" x14ac:dyDescent="0.25">
      <c r="A4155">
        <v>1</v>
      </c>
      <c r="B4155" s="1">
        <v>44166</v>
      </c>
      <c r="C4155" s="57" t="str">
        <f>IF(Ventas[[#This Row],[Fecha ]]="","",+TEXT(B4155,"mmmm"))</f>
        <v>diciembre</v>
      </c>
      <c r="D4155" s="57" t="str">
        <f>IFERROR(+VLOOKUP(Ventas[[#This Row],[Codigo de Producto]],Productos[#All],3,FALSE),"")</f>
        <v>Cerámica</v>
      </c>
      <c r="E4155" t="s">
        <v>699</v>
      </c>
      <c r="F4155" s="57" t="str">
        <f>IFERROR(+VLOOKUP(Ventas[[#This Row],[Codigo de Producto]],Productos[#All],4,FALSE),"")</f>
        <v>Palestina negro</v>
      </c>
      <c r="G4155">
        <v>1</v>
      </c>
      <c r="H4155">
        <v>300</v>
      </c>
      <c r="I4155" s="57">
        <f>IF(Ventas[[#This Row],[Cantidad]]="","",+Ventas[[#This Row],[Cantidad]]*Ventas[[#This Row],[Precio]])</f>
        <v>300</v>
      </c>
      <c r="J4155" s="57" t="str">
        <f>IFERROR(+VLOOKUP(Ventas[[#This Row],[Codigo de Producto]],Productos[#All],2,FALSE),"")</f>
        <v>Dispiasa</v>
      </c>
      <c r="K4155" s="57">
        <f>IFERROR(+VLOOKUP(Ventas[[#This Row],[Codigo de Producto]],Productos[#All],9,FALSE),"")</f>
        <v>268</v>
      </c>
      <c r="M4155" s="57">
        <f t="shared" ref="M4155:M4186" si="1283">+IF(K4155=0,(""),(K4155*G4155))</f>
        <v>268</v>
      </c>
      <c r="N4155" s="57">
        <f t="shared" ref="N4155:N4186" si="1284">+IF(K4155=0,(""),(I4155-M4155))</f>
        <v>32</v>
      </c>
    </row>
    <row r="4156" spans="1:14" x14ac:dyDescent="0.25">
      <c r="A4156">
        <v>2</v>
      </c>
      <c r="B4156" s="1">
        <v>44166</v>
      </c>
      <c r="C4156" s="57" t="str">
        <f>IF(Ventas[[#This Row],[Fecha ]]="","",+TEXT(B4156,"mmmm"))</f>
        <v>diciembre</v>
      </c>
      <c r="D4156" s="57" t="str">
        <f>IFERROR(+VLOOKUP(Ventas[[#This Row],[Codigo de Producto]],Productos[#All],3,FALSE),"")</f>
        <v>Inodoro</v>
      </c>
      <c r="E4156" t="s">
        <v>683</v>
      </c>
      <c r="F4156" s="57" t="str">
        <f>IFERROR(+VLOOKUP(Ventas[[#This Row],[Codigo de Producto]],Productos[#All],4,FALSE),"")</f>
        <v>Inodoro Ecoline Rojo Vino</v>
      </c>
      <c r="G4156">
        <v>1</v>
      </c>
      <c r="H4156">
        <v>1950</v>
      </c>
      <c r="I4156" s="57">
        <f>IF(Ventas[[#This Row],[Cantidad]]="","",+Ventas[[#This Row],[Cantidad]]*Ventas[[#This Row],[Precio]])</f>
        <v>1950</v>
      </c>
      <c r="J4156" s="57" t="str">
        <f>IFERROR(+VLOOKUP(Ventas[[#This Row],[Codigo de Producto]],Productos[#All],2,FALSE),"")</f>
        <v>Dispiasa</v>
      </c>
      <c r="K4156" s="57">
        <f>IFERROR(+VLOOKUP(Ventas[[#This Row],[Codigo de Producto]],Productos[#All],9,FALSE),"")</f>
        <v>1707</v>
      </c>
      <c r="M4156" s="57">
        <f t="shared" si="1283"/>
        <v>1707</v>
      </c>
      <c r="N4156" s="57">
        <f t="shared" si="1284"/>
        <v>243</v>
      </c>
    </row>
    <row r="4157" spans="1:14" x14ac:dyDescent="0.25">
      <c r="A4157">
        <v>3</v>
      </c>
      <c r="B4157" s="1">
        <v>44166</v>
      </c>
      <c r="C4157" s="57" t="str">
        <f>IF(Ventas[[#This Row],[Fecha ]]="","",+TEXT(B4157,"mmmm"))</f>
        <v>diciembre</v>
      </c>
      <c r="D4157" s="57" t="str">
        <f>IFERROR(+VLOOKUP(Ventas[[#This Row],[Codigo de Producto]],Productos[#All],3,FALSE),"")</f>
        <v>Cerámica</v>
      </c>
      <c r="E4157" t="s">
        <v>890</v>
      </c>
      <c r="F4157" s="57" t="str">
        <f>IFERROR(+VLOOKUP(Ventas[[#This Row],[Codigo de Producto]],Productos[#All],4,FALSE),"")</f>
        <v>Calzada Gris</v>
      </c>
      <c r="G4157">
        <v>25</v>
      </c>
      <c r="H4157">
        <v>250</v>
      </c>
      <c r="I4157" s="57">
        <f>IF(Ventas[[#This Row],[Cantidad]]="","",+Ventas[[#This Row],[Cantidad]]*Ventas[[#This Row],[Precio]])</f>
        <v>6250</v>
      </c>
      <c r="J4157" s="57" t="str">
        <f>IFERROR(+VLOOKUP(Ventas[[#This Row],[Codigo de Producto]],Productos[#All],2,FALSE),"")</f>
        <v>Comasa</v>
      </c>
      <c r="K4157" s="57">
        <f ca="1">IFERROR(+VLOOKUP(Ventas[[#This Row],[Codigo de Producto]],Productos[#All],9,FALSE),"")</f>
        <v>232.64</v>
      </c>
      <c r="M4157" s="57">
        <f t="shared" ca="1" si="1283"/>
        <v>5816</v>
      </c>
      <c r="N4157" s="57">
        <f t="shared" ca="1" si="1284"/>
        <v>434</v>
      </c>
    </row>
    <row r="4158" spans="1:14" x14ac:dyDescent="0.25">
      <c r="A4158">
        <v>4</v>
      </c>
      <c r="B4158" s="1">
        <v>44166</v>
      </c>
      <c r="C4158" s="57" t="str">
        <f>IF(Ventas[[#This Row],[Fecha ]]="","",+TEXT(B4158,"mmmm"))</f>
        <v>diciembre</v>
      </c>
      <c r="D4158" s="57" t="str">
        <f>IFERROR(+VLOOKUP(Ventas[[#This Row],[Codigo de Producto]],Productos[#All],3,FALSE),"")</f>
        <v>Otro</v>
      </c>
      <c r="E4158" t="s">
        <v>856</v>
      </c>
      <c r="F4158" s="57" t="str">
        <f>IFERROR(+VLOOKUP(Ventas[[#This Row],[Codigo de Producto]],Productos[#All],4,FALSE),"")</f>
        <v>Avería</v>
      </c>
      <c r="G4158">
        <v>1</v>
      </c>
      <c r="H4158">
        <v>80</v>
      </c>
      <c r="I4158" s="57">
        <f>IF(Ventas[[#This Row],[Cantidad]]="","",+Ventas[[#This Row],[Cantidad]]*Ventas[[#This Row],[Precio]])</f>
        <v>80</v>
      </c>
      <c r="J4158" s="57" t="str">
        <f>IFERROR(+VLOOKUP(Ventas[[#This Row],[Codigo de Producto]],Productos[#All],2,FALSE),"")</f>
        <v>Otro</v>
      </c>
      <c r="K4158" s="57">
        <f ca="1">IFERROR(+VLOOKUP(Ventas[[#This Row],[Codigo de Producto]],Productos[#All],9,FALSE),"")</f>
        <v>0</v>
      </c>
      <c r="M4158" s="57" t="str">
        <f t="shared" ca="1" si="1283"/>
        <v/>
      </c>
      <c r="N4158" s="57" t="str">
        <f t="shared" ca="1" si="1284"/>
        <v/>
      </c>
    </row>
    <row r="4159" spans="1:14" x14ac:dyDescent="0.25">
      <c r="A4159">
        <v>5</v>
      </c>
      <c r="B4159" s="1">
        <v>44166</v>
      </c>
      <c r="C4159" s="57" t="str">
        <f>IF(Ventas[[#This Row],[Fecha ]]="","",+TEXT(B4159,"mmmm"))</f>
        <v>diciembre</v>
      </c>
      <c r="D4159" s="57" t="str">
        <f>IFERROR(+VLOOKUP(Ventas[[#This Row],[Codigo de Producto]],Productos[#All],3,FALSE),"")</f>
        <v>Cerámica</v>
      </c>
      <c r="E4159" t="s">
        <v>892</v>
      </c>
      <c r="F4159" s="57" t="str">
        <f>IFERROR(+VLOOKUP(Ventas[[#This Row],[Codigo de Producto]],Productos[#All],4,FALSE),"")</f>
        <v>Babilonia Blanco</v>
      </c>
      <c r="G4159">
        <v>5</v>
      </c>
      <c r="H4159">
        <v>240</v>
      </c>
      <c r="I4159" s="57">
        <f>IF(Ventas[[#This Row],[Cantidad]]="","",+Ventas[[#This Row],[Cantidad]]*Ventas[[#This Row],[Precio]])</f>
        <v>1200</v>
      </c>
      <c r="J4159" s="57" t="str">
        <f>IFERROR(+VLOOKUP(Ventas[[#This Row],[Codigo de Producto]],Productos[#All],2,FALSE),"")</f>
        <v>Comasa</v>
      </c>
      <c r="K4159" s="57">
        <f ca="1">IFERROR(+VLOOKUP(Ventas[[#This Row],[Codigo de Producto]],Productos[#All],9,FALSE),"")</f>
        <v>216.82</v>
      </c>
      <c r="M4159" s="57">
        <f t="shared" ca="1" si="1283"/>
        <v>1084.0999999999999</v>
      </c>
      <c r="N4159" s="57">
        <f t="shared" ca="1" si="1284"/>
        <v>115.90000000000009</v>
      </c>
    </row>
    <row r="4160" spans="1:14" x14ac:dyDescent="0.25">
      <c r="A4160">
        <v>6</v>
      </c>
      <c r="B4160" s="1">
        <v>44166</v>
      </c>
      <c r="C4160" s="57" t="str">
        <f>IF(Ventas[[#This Row],[Fecha ]]="","",+TEXT(B4160,"mmmm"))</f>
        <v>diciembre</v>
      </c>
      <c r="D4160" s="57" t="str">
        <f>IFERROR(+VLOOKUP(Ventas[[#This Row],[Codigo de Producto]],Productos[#All],3,FALSE),"")</f>
        <v>Bond</v>
      </c>
      <c r="E4160" t="s">
        <v>705</v>
      </c>
      <c r="F4160" s="57" t="str">
        <f>IFERROR(+VLOOKUP(Ventas[[#This Row],[Codigo de Producto]],Productos[#All],4,FALSE),"")</f>
        <v>Bond Porcelanato Drytec</v>
      </c>
      <c r="G4160">
        <v>10</v>
      </c>
      <c r="H4160">
        <v>250</v>
      </c>
      <c r="I4160" s="57">
        <f>IF(Ventas[[#This Row],[Cantidad]]="","",+Ventas[[#This Row],[Cantidad]]*Ventas[[#This Row],[Precio]])</f>
        <v>2500</v>
      </c>
      <c r="J4160" s="57" t="str">
        <f>IFERROR(+VLOOKUP(Ventas[[#This Row],[Codigo de Producto]],Productos[#All],2,FALSE),"")</f>
        <v>Comasa</v>
      </c>
      <c r="K4160" s="57">
        <f>IFERROR(+VLOOKUP(Ventas[[#This Row],[Codigo de Producto]],Productos[#All],9,FALSE),"")</f>
        <v>190</v>
      </c>
      <c r="M4160" s="57">
        <f t="shared" si="1283"/>
        <v>1900</v>
      </c>
      <c r="N4160" s="57">
        <f t="shared" si="1284"/>
        <v>600</v>
      </c>
    </row>
    <row r="4161" spans="1:14" x14ac:dyDescent="0.25">
      <c r="A4161">
        <v>7</v>
      </c>
      <c r="B4161" s="1">
        <v>44166</v>
      </c>
      <c r="C4161" s="57" t="str">
        <f>IF(Ventas[[#This Row],[Fecha ]]="","",+TEXT(B4161,"mmmm"))</f>
        <v>diciembre</v>
      </c>
      <c r="D4161" s="57" t="str">
        <f>IFERROR(+VLOOKUP(Ventas[[#This Row],[Codigo de Producto]],Productos[#All],3,FALSE),"")</f>
        <v>Plasterbond</v>
      </c>
      <c r="E4161" t="s">
        <v>713</v>
      </c>
      <c r="F4161" s="57" t="str">
        <f>IFERROR(+VLOOKUP(Ventas[[#This Row],[Codigo de Producto]],Productos[#All],4,FALSE),"")</f>
        <v>Plasterbond Klebe</v>
      </c>
      <c r="G4161">
        <v>1</v>
      </c>
      <c r="H4161">
        <v>100</v>
      </c>
      <c r="I4161" s="57">
        <f>IF(Ventas[[#This Row],[Cantidad]]="","",+Ventas[[#This Row],[Cantidad]]*Ventas[[#This Row],[Precio]])</f>
        <v>100</v>
      </c>
      <c r="J4161" s="57" t="str">
        <f>IFERROR(+VLOOKUP(Ventas[[#This Row],[Codigo de Producto]],Productos[#All],2,FALSE),"")</f>
        <v>Aginsa</v>
      </c>
      <c r="K4161" s="57">
        <f>IFERROR(+VLOOKUP(Ventas[[#This Row],[Codigo de Producto]],Productos[#All],9,FALSE),"")</f>
        <v>80</v>
      </c>
      <c r="M4161" s="57">
        <f t="shared" si="1283"/>
        <v>80</v>
      </c>
      <c r="N4161" s="57">
        <f t="shared" si="1284"/>
        <v>20</v>
      </c>
    </row>
    <row r="4162" spans="1:14" x14ac:dyDescent="0.25">
      <c r="A4162">
        <v>8</v>
      </c>
      <c r="B4162" s="1">
        <v>44166</v>
      </c>
      <c r="C4162" s="57" t="str">
        <f>IF(Ventas[[#This Row],[Fecha ]]="","",+TEXT(B4162,"mmmm"))</f>
        <v>diciembre</v>
      </c>
      <c r="D4162" s="57" t="str">
        <f>IFERROR(+VLOOKUP(Ventas[[#This Row],[Codigo de Producto]],Productos[#All],3,FALSE),"")</f>
        <v>Cerámica</v>
      </c>
      <c r="E4162" t="s">
        <v>890</v>
      </c>
      <c r="F4162" s="57" t="str">
        <f>IFERROR(+VLOOKUP(Ventas[[#This Row],[Codigo de Producto]],Productos[#All],4,FALSE),"")</f>
        <v>Calzada Gris</v>
      </c>
      <c r="G4162">
        <f>9/18*2.15</f>
        <v>1.075</v>
      </c>
      <c r="H4162">
        <v>250</v>
      </c>
      <c r="I4162" s="57">
        <f>IF(Ventas[[#This Row],[Cantidad]]="","",+Ventas[[#This Row],[Cantidad]]*Ventas[[#This Row],[Precio]])</f>
        <v>268.75</v>
      </c>
      <c r="J4162" s="57" t="str">
        <f>IFERROR(+VLOOKUP(Ventas[[#This Row],[Codigo de Producto]],Productos[#All],2,FALSE),"")</f>
        <v>Comasa</v>
      </c>
      <c r="K4162" s="57">
        <f ca="1">IFERROR(+VLOOKUP(Ventas[[#This Row],[Codigo de Producto]],Productos[#All],9,FALSE),"")</f>
        <v>232.64</v>
      </c>
      <c r="M4162" s="57">
        <f t="shared" ca="1" si="1283"/>
        <v>250.08799999999997</v>
      </c>
      <c r="N4162" s="57">
        <f t="shared" ca="1" si="1284"/>
        <v>18.662000000000035</v>
      </c>
    </row>
    <row r="4163" spans="1:14" x14ac:dyDescent="0.25">
      <c r="A4163">
        <v>9</v>
      </c>
      <c r="B4163" s="1">
        <v>44166</v>
      </c>
      <c r="C4163" s="57" t="str">
        <f>IF(Ventas[[#This Row],[Fecha ]]="","",+TEXT(B4163,"mmmm"))</f>
        <v>diciembre</v>
      </c>
      <c r="D4163" s="57" t="str">
        <f>IFERROR(+VLOOKUP(Ventas[[#This Row],[Codigo de Producto]],Productos[#All],3,FALSE),"")</f>
        <v>Azulejos</v>
      </c>
      <c r="E4163" t="s">
        <v>716</v>
      </c>
      <c r="F4163" s="57" t="str">
        <f>IFERROR(+VLOOKUP(Ventas[[#This Row],[Codigo de Producto]],Productos[#All],4,FALSE),"")</f>
        <v>Lisboa Verde Liso</v>
      </c>
      <c r="G4163">
        <f>4/12</f>
        <v>0.33333333333333331</v>
      </c>
      <c r="H4163">
        <v>300</v>
      </c>
      <c r="I4163" s="57">
        <f>IF(Ventas[[#This Row],[Cantidad]]="","",+Ventas[[#This Row],[Cantidad]]*Ventas[[#This Row],[Precio]])</f>
        <v>100</v>
      </c>
      <c r="J4163" s="57" t="str">
        <f>IFERROR(+VLOOKUP(Ventas[[#This Row],[Codigo de Producto]],Productos[#All],2,FALSE),"")</f>
        <v>Dispiasa</v>
      </c>
      <c r="K4163" s="57">
        <f>IFERROR(+VLOOKUP(Ventas[[#This Row],[Codigo de Producto]],Productos[#All],9,FALSE),"")</f>
        <v>268</v>
      </c>
      <c r="M4163" s="57">
        <f t="shared" si="1283"/>
        <v>89.333333333333329</v>
      </c>
      <c r="N4163" s="57">
        <f t="shared" si="1284"/>
        <v>10.666666666666671</v>
      </c>
    </row>
    <row r="4164" spans="1:14" x14ac:dyDescent="0.25">
      <c r="A4164">
        <v>10</v>
      </c>
      <c r="B4164" s="1">
        <v>44167</v>
      </c>
      <c r="C4164" s="57" t="str">
        <f>IF(Ventas[[#This Row],[Fecha ]]="","",+TEXT(B4164,"mmmm"))</f>
        <v>diciembre</v>
      </c>
      <c r="D4164" s="57" t="str">
        <f>IFERROR(+VLOOKUP(Ventas[[#This Row],[Codigo de Producto]],Productos[#All],3,FALSE),"")</f>
        <v>Bond</v>
      </c>
      <c r="E4164" t="s">
        <v>704</v>
      </c>
      <c r="F4164" s="57" t="str">
        <f>IFERROR(+VLOOKUP(Ventas[[#This Row],[Codigo de Producto]],Productos[#All],4,FALSE),"")</f>
        <v>Drytec Bond Plus</v>
      </c>
      <c r="G4164">
        <v>1</v>
      </c>
      <c r="H4164">
        <v>155</v>
      </c>
      <c r="I4164" s="57">
        <f>IF(Ventas[[#This Row],[Cantidad]]="","",+Ventas[[#This Row],[Cantidad]]*Ventas[[#This Row],[Precio]])</f>
        <v>155</v>
      </c>
      <c r="J4164" s="57" t="str">
        <f>IFERROR(+VLOOKUP(Ventas[[#This Row],[Codigo de Producto]],Productos[#All],2,FALSE),"")</f>
        <v>Comasa</v>
      </c>
      <c r="K4164" s="57">
        <f>IFERROR(+VLOOKUP(Ventas[[#This Row],[Codigo de Producto]],Productos[#All],9,FALSE),"")</f>
        <v>127</v>
      </c>
      <c r="M4164" s="57">
        <f t="shared" si="1283"/>
        <v>127</v>
      </c>
      <c r="N4164" s="57">
        <f t="shared" si="1284"/>
        <v>28</v>
      </c>
    </row>
    <row r="4165" spans="1:14" x14ac:dyDescent="0.25">
      <c r="A4165">
        <v>11</v>
      </c>
      <c r="B4165" s="1">
        <v>44167</v>
      </c>
      <c r="C4165" s="57" t="str">
        <f>IF(Ventas[[#This Row],[Fecha ]]="","",+TEXT(B4165,"mmmm"))</f>
        <v>diciembre</v>
      </c>
      <c r="D4165" s="57" t="str">
        <f>IFERROR(+VLOOKUP(Ventas[[#This Row],[Codigo de Producto]],Productos[#All],3,FALSE),"")</f>
        <v>Cerámica</v>
      </c>
      <c r="E4165" t="s">
        <v>662</v>
      </c>
      <c r="F4165" s="57" t="str">
        <f>IFERROR(+VLOOKUP(Ventas[[#This Row],[Codigo de Producto]],Productos[#All],4,FALSE),"")</f>
        <v>Alaska Blanco</v>
      </c>
      <c r="G4165">
        <f>3/10</f>
        <v>0.3</v>
      </c>
      <c r="H4165">
        <v>300</v>
      </c>
      <c r="I4165" s="57">
        <f>IF(Ventas[[#This Row],[Cantidad]]="","",+Ventas[[#This Row],[Cantidad]]*Ventas[[#This Row],[Precio]])</f>
        <v>90</v>
      </c>
      <c r="J4165" s="57" t="str">
        <f>IFERROR(+VLOOKUP(Ventas[[#This Row],[Codigo de Producto]],Productos[#All],2,FALSE),"")</f>
        <v>Dispiasa</v>
      </c>
      <c r="K4165" s="57">
        <f>IFERROR(+VLOOKUP(Ventas[[#This Row],[Codigo de Producto]],Productos[#All],9,FALSE),"")</f>
        <v>253</v>
      </c>
      <c r="M4165" s="57">
        <f t="shared" si="1283"/>
        <v>75.899999999999991</v>
      </c>
      <c r="N4165" s="57">
        <f t="shared" si="1284"/>
        <v>14.100000000000009</v>
      </c>
    </row>
    <row r="4166" spans="1:14" x14ac:dyDescent="0.25">
      <c r="A4166">
        <v>12</v>
      </c>
      <c r="B4166" s="1">
        <v>44167</v>
      </c>
      <c r="C4166" s="57" t="str">
        <f>IF(Ventas[[#This Row],[Fecha ]]="","",+TEXT(B4166,"mmmm"))</f>
        <v>diciembre</v>
      </c>
      <c r="D4166" s="57" t="str">
        <f>IFERROR(+VLOOKUP(Ventas[[#This Row],[Codigo de Producto]],Productos[#All],3,FALSE),"")</f>
        <v>Cerámica</v>
      </c>
      <c r="E4166" t="s">
        <v>646</v>
      </c>
      <c r="F4166" s="57" t="str">
        <f>IFERROR(+VLOOKUP(Ventas[[#This Row],[Codigo de Producto]],Productos[#All],4,FALSE),"")</f>
        <v>Zacatepec Marrón</v>
      </c>
      <c r="G4166">
        <f>4/10</f>
        <v>0.4</v>
      </c>
      <c r="H4166">
        <v>250</v>
      </c>
      <c r="I4166" s="57">
        <f>IF(Ventas[[#This Row],[Cantidad]]="","",+Ventas[[#This Row],[Cantidad]]*Ventas[[#This Row],[Precio]])</f>
        <v>100</v>
      </c>
      <c r="J4166" s="57" t="str">
        <f>IFERROR(+VLOOKUP(Ventas[[#This Row],[Codigo de Producto]],Productos[#All],2,FALSE),"")</f>
        <v>Dispiasa</v>
      </c>
      <c r="K4166" s="57">
        <f>IFERROR(+VLOOKUP(Ventas[[#This Row],[Codigo de Producto]],Productos[#All],9,FALSE),"")</f>
        <v>219</v>
      </c>
      <c r="M4166" s="57">
        <f t="shared" si="1283"/>
        <v>87.600000000000009</v>
      </c>
      <c r="N4166" s="57">
        <f t="shared" si="1284"/>
        <v>12.399999999999991</v>
      </c>
    </row>
    <row r="4167" spans="1:14" x14ac:dyDescent="0.25">
      <c r="A4167">
        <v>13</v>
      </c>
      <c r="B4167" s="1">
        <v>44167</v>
      </c>
      <c r="C4167" s="57" t="str">
        <f>IF(Ventas[[#This Row],[Fecha ]]="","",+TEXT(B4167,"mmmm"))</f>
        <v>diciembre</v>
      </c>
      <c r="D4167" s="57" t="str">
        <f>IFERROR(+VLOOKUP(Ventas[[#This Row],[Codigo de Producto]],Productos[#All],3,FALSE),"")</f>
        <v>Porcelana</v>
      </c>
      <c r="E4167" t="s">
        <v>708</v>
      </c>
      <c r="F4167" s="57" t="str">
        <f>IFERROR(+VLOOKUP(Ventas[[#This Row],[Codigo de Producto]],Productos[#All],4,FALSE),"")</f>
        <v xml:space="preserve">Porcelana Maya </v>
      </c>
      <c r="G4167">
        <v>5</v>
      </c>
      <c r="H4167">
        <v>60</v>
      </c>
      <c r="I4167" s="57">
        <f>IF(Ventas[[#This Row],[Cantidad]]="","",+Ventas[[#This Row],[Cantidad]]*Ventas[[#This Row],[Precio]])</f>
        <v>300</v>
      </c>
      <c r="J4167" s="57" t="str">
        <f>IFERROR(+VLOOKUP(Ventas[[#This Row],[Codigo de Producto]],Productos[#All],2,FALSE),"")</f>
        <v>Martinez</v>
      </c>
      <c r="K4167" s="57">
        <f>IFERROR(+VLOOKUP(Ventas[[#This Row],[Codigo de Producto]],Productos[#All],9,FALSE),"")</f>
        <v>33.333333333333336</v>
      </c>
      <c r="M4167" s="57">
        <f t="shared" si="1283"/>
        <v>166.66666666666669</v>
      </c>
      <c r="N4167" s="57">
        <f t="shared" si="1284"/>
        <v>133.33333333333331</v>
      </c>
    </row>
    <row r="4168" spans="1:14" x14ac:dyDescent="0.25">
      <c r="A4168">
        <v>14</v>
      </c>
      <c r="B4168" s="1">
        <v>44167</v>
      </c>
      <c r="C4168" s="57" t="str">
        <f>IF(Ventas[[#This Row],[Fecha ]]="","",+TEXT(B4168,"mmmm"))</f>
        <v>diciembre</v>
      </c>
      <c r="D4168" s="57" t="str">
        <f>IFERROR(+VLOOKUP(Ventas[[#This Row],[Codigo de Producto]],Productos[#All],3,FALSE),"")</f>
        <v>Separadores</v>
      </c>
      <c r="E4168" t="s">
        <v>722</v>
      </c>
      <c r="F4168" s="57" t="str">
        <f>IFERROR(+VLOOKUP(Ventas[[#This Row],[Codigo de Producto]],Productos[#All],4,FALSE),"")</f>
        <v>Separadores de 5 mm</v>
      </c>
      <c r="G4168">
        <v>1</v>
      </c>
      <c r="H4168">
        <v>35</v>
      </c>
      <c r="I4168" s="57">
        <f>IF(Ventas[[#This Row],[Cantidad]]="","",+Ventas[[#This Row],[Cantidad]]*Ventas[[#This Row],[Precio]])</f>
        <v>35</v>
      </c>
      <c r="J4168" s="57" t="str">
        <f>IFERROR(+VLOOKUP(Ventas[[#This Row],[Codigo de Producto]],Productos[#All],2,FALSE),"")</f>
        <v>Silco</v>
      </c>
      <c r="K4168" s="57">
        <f>IFERROR(+VLOOKUP(Ventas[[#This Row],[Codigo de Producto]],Productos[#All],9,FALSE),"")</f>
        <v>22</v>
      </c>
      <c r="M4168" s="57">
        <f t="shared" si="1283"/>
        <v>22</v>
      </c>
      <c r="N4168" s="57">
        <f t="shared" si="1284"/>
        <v>13</v>
      </c>
    </row>
    <row r="4169" spans="1:14" x14ac:dyDescent="0.25">
      <c r="A4169">
        <v>15</v>
      </c>
      <c r="B4169" s="1">
        <v>44167</v>
      </c>
      <c r="C4169" s="57" t="str">
        <f>IF(Ventas[[#This Row],[Fecha ]]="","",+TEXT(B4169,"mmmm"))</f>
        <v>diciembre</v>
      </c>
      <c r="D4169" s="57" t="str">
        <f>IFERROR(+VLOOKUP(Ventas[[#This Row],[Codigo de Producto]],Productos[#All],3,FALSE),"")</f>
        <v>Cerámica</v>
      </c>
      <c r="E4169" t="s">
        <v>703</v>
      </c>
      <c r="F4169" s="57" t="str">
        <f>IFERROR(+VLOOKUP(Ventas[[#This Row],[Codigo de Producto]],Productos[#All],4,FALSE),"")</f>
        <v>Nogal Oscuro</v>
      </c>
      <c r="G4169">
        <v>17</v>
      </c>
      <c r="H4169">
        <v>295</v>
      </c>
      <c r="I4169" s="57">
        <f>IF(Ventas[[#This Row],[Cantidad]]="","",+Ventas[[#This Row],[Cantidad]]*Ventas[[#This Row],[Precio]])</f>
        <v>5015</v>
      </c>
      <c r="J4169" s="57" t="str">
        <f>IFERROR(+VLOOKUP(Ventas[[#This Row],[Codigo de Producto]],Productos[#All],2,FALSE),"")</f>
        <v>Dispiasa</v>
      </c>
      <c r="K4169" s="57">
        <f>IFERROR(+VLOOKUP(Ventas[[#This Row],[Codigo de Producto]],Productos[#All],9,FALSE),"")</f>
        <v>268</v>
      </c>
      <c r="M4169" s="57">
        <f t="shared" si="1283"/>
        <v>4556</v>
      </c>
      <c r="N4169" s="57">
        <f t="shared" si="1284"/>
        <v>459</v>
      </c>
    </row>
    <row r="4170" spans="1:14" x14ac:dyDescent="0.25">
      <c r="A4170">
        <v>16</v>
      </c>
      <c r="B4170" s="1">
        <v>44167</v>
      </c>
      <c r="C4170" s="57" t="str">
        <f>IF(Ventas[[#This Row],[Fecha ]]="","",+TEXT(B4170,"mmmm"))</f>
        <v>diciembre</v>
      </c>
      <c r="D4170" s="57" t="str">
        <f>IFERROR(+VLOOKUP(Ventas[[#This Row],[Codigo de Producto]],Productos[#All],3,FALSE),"")</f>
        <v>Bond</v>
      </c>
      <c r="E4170" t="s">
        <v>704</v>
      </c>
      <c r="F4170" s="57" t="str">
        <f>IFERROR(+VLOOKUP(Ventas[[#This Row],[Codigo de Producto]],Productos[#All],4,FALSE),"")</f>
        <v>Drytec Bond Plus</v>
      </c>
      <c r="G4170">
        <v>2</v>
      </c>
      <c r="H4170">
        <v>155</v>
      </c>
      <c r="I4170" s="57">
        <f>IF(Ventas[[#This Row],[Cantidad]]="","",+Ventas[[#This Row],[Cantidad]]*Ventas[[#This Row],[Precio]])</f>
        <v>310</v>
      </c>
      <c r="J4170" s="57" t="str">
        <f>IFERROR(+VLOOKUP(Ventas[[#This Row],[Codigo de Producto]],Productos[#All],2,FALSE),"")</f>
        <v>Comasa</v>
      </c>
      <c r="K4170" s="57">
        <f>IFERROR(+VLOOKUP(Ventas[[#This Row],[Codigo de Producto]],Productos[#All],9,FALSE),"")</f>
        <v>127</v>
      </c>
      <c r="M4170" s="57">
        <f t="shared" si="1283"/>
        <v>254</v>
      </c>
      <c r="N4170" s="57">
        <f t="shared" si="1284"/>
        <v>56</v>
      </c>
    </row>
    <row r="4171" spans="1:14" x14ac:dyDescent="0.25">
      <c r="A4171">
        <v>17</v>
      </c>
      <c r="B4171" s="1">
        <v>44167</v>
      </c>
      <c r="C4171" s="57" t="str">
        <f>IF(Ventas[[#This Row],[Fecha ]]="","",+TEXT(B4171,"mmmm"))</f>
        <v>diciembre</v>
      </c>
      <c r="D4171" s="57" t="str">
        <f>IFERROR(+VLOOKUP(Ventas[[#This Row],[Codigo de Producto]],Productos[#All],3,FALSE),"")</f>
        <v>Cerámica</v>
      </c>
      <c r="E4171" t="s">
        <v>645</v>
      </c>
      <c r="F4171" s="57" t="str">
        <f>IFERROR(+VLOOKUP(Ventas[[#This Row],[Codigo de Producto]],Productos[#All],4,FALSE),"")</f>
        <v>822 Roble</v>
      </c>
      <c r="G4171">
        <v>2.5</v>
      </c>
      <c r="H4171">
        <v>240</v>
      </c>
      <c r="I4171" s="57">
        <f>IF(Ventas[[#This Row],[Cantidad]]="","",+Ventas[[#This Row],[Cantidad]]*Ventas[[#This Row],[Precio]])</f>
        <v>600</v>
      </c>
      <c r="J4171" s="57" t="str">
        <f>IFERROR(+VLOOKUP(Ventas[[#This Row],[Codigo de Producto]],Productos[#All],2,FALSE),"")</f>
        <v>Dispiasa</v>
      </c>
      <c r="K4171" s="57">
        <f>IFERROR(+VLOOKUP(Ventas[[#This Row],[Codigo de Producto]],Productos[#All],9,FALSE),"")</f>
        <v>207</v>
      </c>
      <c r="M4171" s="57">
        <f t="shared" si="1283"/>
        <v>517.5</v>
      </c>
      <c r="N4171" s="57">
        <f t="shared" si="1284"/>
        <v>82.5</v>
      </c>
    </row>
    <row r="4172" spans="1:14" x14ac:dyDescent="0.25">
      <c r="A4172">
        <v>18</v>
      </c>
      <c r="B4172" s="1">
        <v>44167</v>
      </c>
      <c r="C4172" s="57" t="str">
        <f>IF(Ventas[[#This Row],[Fecha ]]="","",+TEXT(B4172,"mmmm"))</f>
        <v>diciembre</v>
      </c>
      <c r="D4172" s="57" t="str">
        <f>IFERROR(+VLOOKUP(Ventas[[#This Row],[Codigo de Producto]],Productos[#All],3,FALSE),"")</f>
        <v>Bond</v>
      </c>
      <c r="E4172" t="s">
        <v>704</v>
      </c>
      <c r="F4172" s="57" t="str">
        <f>IFERROR(+VLOOKUP(Ventas[[#This Row],[Codigo de Producto]],Productos[#All],4,FALSE),"")</f>
        <v>Drytec Bond Plus</v>
      </c>
      <c r="G4172">
        <v>2</v>
      </c>
      <c r="H4172">
        <v>155</v>
      </c>
      <c r="I4172" s="57">
        <f>IF(Ventas[[#This Row],[Cantidad]]="","",+Ventas[[#This Row],[Cantidad]]*Ventas[[#This Row],[Precio]])</f>
        <v>310</v>
      </c>
      <c r="J4172" s="57" t="str">
        <f>IFERROR(+VLOOKUP(Ventas[[#This Row],[Codigo de Producto]],Productos[#All],2,FALSE),"")</f>
        <v>Comasa</v>
      </c>
      <c r="K4172" s="57">
        <f>IFERROR(+VLOOKUP(Ventas[[#This Row],[Codigo de Producto]],Productos[#All],9,FALSE),"")</f>
        <v>127</v>
      </c>
      <c r="M4172" s="57">
        <f t="shared" si="1283"/>
        <v>254</v>
      </c>
      <c r="N4172" s="57">
        <f t="shared" si="1284"/>
        <v>56</v>
      </c>
    </row>
    <row r="4173" spans="1:14" x14ac:dyDescent="0.25">
      <c r="A4173">
        <v>19</v>
      </c>
      <c r="B4173" s="1">
        <v>44167</v>
      </c>
      <c r="C4173" s="57" t="str">
        <f>IF(Ventas[[#This Row],[Fecha ]]="","",+TEXT(B4173,"mmmm"))</f>
        <v>diciembre</v>
      </c>
      <c r="D4173" s="57" t="str">
        <f>IFERROR(+VLOOKUP(Ventas[[#This Row],[Codigo de Producto]],Productos[#All],3,FALSE),"")</f>
        <v>Otro</v>
      </c>
      <c r="E4173" t="s">
        <v>902</v>
      </c>
      <c r="F4173" s="57" t="str">
        <f>IFERROR(+VLOOKUP(Ventas[[#This Row],[Codigo de Producto]],Productos[#All],4,FALSE),"")</f>
        <v>Esponja</v>
      </c>
      <c r="G4173">
        <v>1</v>
      </c>
      <c r="H4173">
        <v>35</v>
      </c>
      <c r="I4173" s="57">
        <f>IF(Ventas[[#This Row],[Cantidad]]="","",+Ventas[[#This Row],[Cantidad]]*Ventas[[#This Row],[Precio]])</f>
        <v>35</v>
      </c>
      <c r="J4173" s="57" t="str">
        <f>IFERROR(+VLOOKUP(Ventas[[#This Row],[Codigo de Producto]],Productos[#All],2,FALSE),"")</f>
        <v>Rodriguez</v>
      </c>
      <c r="K4173" s="57">
        <f>IFERROR(+VLOOKUP(Ventas[[#This Row],[Codigo de Producto]],Productos[#All],9,FALSE),"")</f>
        <v>25</v>
      </c>
      <c r="M4173" s="57">
        <f t="shared" si="1283"/>
        <v>25</v>
      </c>
      <c r="N4173" s="57">
        <f t="shared" si="1284"/>
        <v>10</v>
      </c>
    </row>
    <row r="4174" spans="1:14" x14ac:dyDescent="0.25">
      <c r="A4174">
        <v>20</v>
      </c>
      <c r="B4174" s="1">
        <v>44167</v>
      </c>
      <c r="C4174" s="57" t="str">
        <f>IF(Ventas[[#This Row],[Fecha ]]="","",+TEXT(B4174,"mmmm"))</f>
        <v>diciembre</v>
      </c>
      <c r="D4174" s="57" t="str">
        <f>IFERROR(+VLOOKUP(Ventas[[#This Row],[Codigo de Producto]],Productos[#All],3,FALSE),"")</f>
        <v>Fachaleta</v>
      </c>
      <c r="E4174" t="s">
        <v>666</v>
      </c>
      <c r="F4174" s="57" t="str">
        <f>IFERROR(+VLOOKUP(Ventas[[#This Row],[Codigo de Producto]],Productos[#All],4,FALSE),"")</f>
        <v>Alabastro Rodeno</v>
      </c>
      <c r="G4174">
        <v>8</v>
      </c>
      <c r="H4174">
        <v>420</v>
      </c>
      <c r="I4174" s="57">
        <f>IF(Ventas[[#This Row],[Cantidad]]="","",+Ventas[[#This Row],[Cantidad]]*Ventas[[#This Row],[Precio]])</f>
        <v>3360</v>
      </c>
      <c r="J4174" s="57" t="str">
        <f>IFERROR(+VLOOKUP(Ventas[[#This Row],[Codigo de Producto]],Productos[#All],2,FALSE),"")</f>
        <v>Dispiasa</v>
      </c>
      <c r="K4174" s="57">
        <f>IFERROR(+VLOOKUP(Ventas[[#This Row],[Codigo de Producto]],Productos[#All],9,FALSE),"")</f>
        <v>332</v>
      </c>
      <c r="M4174" s="57">
        <f t="shared" si="1283"/>
        <v>2656</v>
      </c>
      <c r="N4174" s="57">
        <f t="shared" si="1284"/>
        <v>704</v>
      </c>
    </row>
    <row r="4175" spans="1:14" x14ac:dyDescent="0.25">
      <c r="A4175">
        <v>21</v>
      </c>
      <c r="B4175" s="1">
        <v>44168</v>
      </c>
      <c r="C4175" s="57" t="str">
        <f>IF(Ventas[[#This Row],[Fecha ]]="","",+TEXT(B4175,"mmmm"))</f>
        <v>diciembre</v>
      </c>
      <c r="D4175" s="57" t="str">
        <f>IFERROR(+VLOOKUP(Ventas[[#This Row],[Codigo de Producto]],Productos[#All],3,FALSE),"")</f>
        <v>Iluminación</v>
      </c>
      <c r="E4175" t="s">
        <v>770</v>
      </c>
      <c r="F4175" s="57" t="str">
        <f>IFERROR(+VLOOKUP(Ventas[[#This Row],[Codigo de Producto]],Productos[#All],4,FALSE),"")</f>
        <v>Bujía Led 3B 3w</v>
      </c>
      <c r="G4175">
        <v>2</v>
      </c>
      <c r="H4175">
        <v>25</v>
      </c>
      <c r="I4175" s="57">
        <f>IF(Ventas[[#This Row],[Cantidad]]="","",+Ventas[[#This Row],[Cantidad]]*Ventas[[#This Row],[Precio]])</f>
        <v>50</v>
      </c>
      <c r="J4175" s="57" t="str">
        <f>IFERROR(+VLOOKUP(Ventas[[#This Row],[Codigo de Producto]],Productos[#All],2,FALSE),"")</f>
        <v>Magaña</v>
      </c>
      <c r="K4175" s="57">
        <f ca="1">IFERROR(+VLOOKUP(Ventas[[#This Row],[Codigo de Producto]],Productos[#All],9,FALSE),"")</f>
        <v>0</v>
      </c>
      <c r="M4175" s="57" t="str">
        <f t="shared" ca="1" si="1283"/>
        <v/>
      </c>
      <c r="N4175" s="57" t="str">
        <f t="shared" ca="1" si="1284"/>
        <v/>
      </c>
    </row>
    <row r="4176" spans="1:14" x14ac:dyDescent="0.25">
      <c r="A4176">
        <v>22</v>
      </c>
      <c r="B4176" s="1">
        <v>44168</v>
      </c>
      <c r="C4176" s="57" t="str">
        <f>IF(Ventas[[#This Row],[Fecha ]]="","",+TEXT(B4176,"mmmm"))</f>
        <v>diciembre</v>
      </c>
      <c r="D4176" s="57" t="str">
        <f>IFERROR(+VLOOKUP(Ventas[[#This Row],[Codigo de Producto]],Productos[#All],3,FALSE),"")</f>
        <v>Azulejos</v>
      </c>
      <c r="E4176" t="s">
        <v>742</v>
      </c>
      <c r="F4176" s="57" t="str">
        <f>IFERROR(+VLOOKUP(Ventas[[#This Row],[Codigo de Producto]],Productos[#All],4,FALSE),"")</f>
        <v>Palenque Azul Liso</v>
      </c>
      <c r="G4176">
        <f>2/16</f>
        <v>0.125</v>
      </c>
      <c r="H4176">
        <v>290</v>
      </c>
      <c r="I4176" s="57">
        <f>IF(Ventas[[#This Row],[Cantidad]]="","",+Ventas[[#This Row],[Cantidad]]*Ventas[[#This Row],[Precio]])</f>
        <v>36.25</v>
      </c>
      <c r="J4176" s="57" t="str">
        <f>IFERROR(+VLOOKUP(Ventas[[#This Row],[Codigo de Producto]],Productos[#All],2,FALSE),"")</f>
        <v>Dispiasa</v>
      </c>
      <c r="K4176" s="57">
        <f>IFERROR(+VLOOKUP(Ventas[[#This Row],[Codigo de Producto]],Productos[#All],9,FALSE),"")</f>
        <v>256</v>
      </c>
      <c r="M4176" s="57">
        <f t="shared" si="1283"/>
        <v>32</v>
      </c>
      <c r="N4176" s="57">
        <f t="shared" si="1284"/>
        <v>4.25</v>
      </c>
    </row>
    <row r="4177" spans="1:14" x14ac:dyDescent="0.25">
      <c r="A4177">
        <v>23</v>
      </c>
      <c r="B4177" s="1">
        <v>44168</v>
      </c>
      <c r="C4177" s="57" t="str">
        <f>IF(Ventas[[#This Row],[Fecha ]]="","",+TEXT(B4177,"mmmm"))</f>
        <v>diciembre</v>
      </c>
      <c r="D4177" s="57" t="str">
        <f>IFERROR(+VLOOKUP(Ventas[[#This Row],[Codigo de Producto]],Productos[#All],3,FALSE),"")</f>
        <v>Cerámica</v>
      </c>
      <c r="E4177" t="s">
        <v>880</v>
      </c>
      <c r="F4177" s="57" t="str">
        <f>IFERROR(+VLOOKUP(Ventas[[#This Row],[Codigo de Producto]],Productos[#All],4,FALSE),"")</f>
        <v>Ebro Beige</v>
      </c>
      <c r="G4177">
        <f>2/9</f>
        <v>0.22222222222222221</v>
      </c>
      <c r="H4177">
        <v>300</v>
      </c>
      <c r="I4177" s="57">
        <f>IF(Ventas[[#This Row],[Cantidad]]="","",+Ventas[[#This Row],[Cantidad]]*Ventas[[#This Row],[Precio]])</f>
        <v>66.666666666666657</v>
      </c>
      <c r="J4177" s="57" t="str">
        <f>IFERROR(+VLOOKUP(Ventas[[#This Row],[Codigo de Producto]],Productos[#All],2,FALSE),"")</f>
        <v>Dispiasa</v>
      </c>
      <c r="K4177" s="57">
        <f ca="1">IFERROR(+VLOOKUP(Ventas[[#This Row],[Codigo de Producto]],Productos[#All],9,FALSE),"")</f>
        <v>268</v>
      </c>
      <c r="M4177" s="57">
        <f t="shared" ca="1" si="1283"/>
        <v>59.55555555555555</v>
      </c>
      <c r="N4177" s="57">
        <f t="shared" ca="1" si="1284"/>
        <v>7.1111111111111072</v>
      </c>
    </row>
    <row r="4178" spans="1:14" x14ac:dyDescent="0.25">
      <c r="A4178">
        <v>24</v>
      </c>
      <c r="B4178" s="1">
        <v>44168</v>
      </c>
      <c r="C4178" s="57" t="str">
        <f>IF(Ventas[[#This Row],[Fecha ]]="","",+TEXT(B4178,"mmmm"))</f>
        <v>diciembre</v>
      </c>
      <c r="D4178" s="57" t="str">
        <f>IFERROR(+VLOOKUP(Ventas[[#This Row],[Codigo de Producto]],Productos[#All],3,FALSE),"")</f>
        <v>Bond</v>
      </c>
      <c r="E4178" t="s">
        <v>888</v>
      </c>
      <c r="F4178" s="57" t="str">
        <f>IFERROR(+VLOOKUP(Ventas[[#This Row],[Codigo de Producto]],Productos[#All],4,FALSE),"")</f>
        <v>Diamond Bond Plus</v>
      </c>
      <c r="G4178">
        <v>1</v>
      </c>
      <c r="H4178">
        <v>120</v>
      </c>
      <c r="I4178" s="57">
        <f>IF(Ventas[[#This Row],[Cantidad]]="","",+Ventas[[#This Row],[Cantidad]]*Ventas[[#This Row],[Precio]])</f>
        <v>120</v>
      </c>
      <c r="J4178" s="57" t="str">
        <f>IFERROR(+VLOOKUP(Ventas[[#This Row],[Codigo de Producto]],Productos[#All],2,FALSE),"")</f>
        <v>Martinez</v>
      </c>
      <c r="K4178" s="57">
        <f>IFERROR(+VLOOKUP(Ventas[[#This Row],[Codigo de Producto]],Productos[#All],9,FALSE),"")</f>
        <v>34</v>
      </c>
      <c r="M4178" s="57">
        <f t="shared" si="1283"/>
        <v>34</v>
      </c>
      <c r="N4178" s="57">
        <f t="shared" si="1284"/>
        <v>86</v>
      </c>
    </row>
    <row r="4179" spans="1:14" x14ac:dyDescent="0.25">
      <c r="A4179">
        <v>25</v>
      </c>
      <c r="B4179" s="1">
        <v>44168</v>
      </c>
      <c r="C4179" s="57" t="str">
        <f>IF(Ventas[[#This Row],[Fecha ]]="","",+TEXT(B4179,"mmmm"))</f>
        <v>diciembre</v>
      </c>
      <c r="D4179" s="57" t="str">
        <f>IFERROR(+VLOOKUP(Ventas[[#This Row],[Codigo de Producto]],Productos[#All],3,FALSE),"")</f>
        <v>Cerámica</v>
      </c>
      <c r="E4179" t="s">
        <v>641</v>
      </c>
      <c r="F4179" s="57" t="str">
        <f>IFERROR(+VLOOKUP(Ventas[[#This Row],[Codigo de Producto]],Productos[#All],4,FALSE),"")</f>
        <v>Madera Lacewood</v>
      </c>
      <c r="G4179">
        <v>4</v>
      </c>
      <c r="H4179">
        <v>240</v>
      </c>
      <c r="I4179" s="57">
        <f>IF(Ventas[[#This Row],[Cantidad]]="","",+Ventas[[#This Row],[Cantidad]]*Ventas[[#This Row],[Precio]])</f>
        <v>960</v>
      </c>
      <c r="J4179" s="57" t="str">
        <f>IFERROR(+VLOOKUP(Ventas[[#This Row],[Codigo de Producto]],Productos[#All],2,FALSE),"")</f>
        <v>Comasa</v>
      </c>
      <c r="K4179" s="57">
        <f>IFERROR(+VLOOKUP(Ventas[[#This Row],[Codigo de Producto]],Productos[#All],9,FALSE),"")</f>
        <v>205</v>
      </c>
      <c r="M4179" s="57">
        <f t="shared" si="1283"/>
        <v>820</v>
      </c>
      <c r="N4179" s="57">
        <f t="shared" si="1284"/>
        <v>140</v>
      </c>
    </row>
    <row r="4180" spans="1:14" x14ac:dyDescent="0.25">
      <c r="A4180">
        <v>26</v>
      </c>
      <c r="B4180" s="1">
        <v>44168</v>
      </c>
      <c r="C4180" s="57" t="str">
        <f>IF(Ventas[[#This Row],[Fecha ]]="","",+TEXT(B4180,"mmmm"))</f>
        <v>diciembre</v>
      </c>
      <c r="D4180" s="57" t="str">
        <f>IFERROR(+VLOOKUP(Ventas[[#This Row],[Codigo de Producto]],Productos[#All],3,FALSE),"")</f>
        <v>Inodoro</v>
      </c>
      <c r="E4180" t="s">
        <v>885</v>
      </c>
      <c r="F4180" s="57" t="str">
        <f>IFERROR(+VLOOKUP(Ventas[[#This Row],[Codigo de Producto]],Productos[#All],4,FALSE),"")</f>
        <v>Asiento Redondo Ecoline Blanco</v>
      </c>
      <c r="G4180">
        <v>1</v>
      </c>
      <c r="H4180">
        <v>400</v>
      </c>
      <c r="I4180" s="57">
        <f>IF(Ventas[[#This Row],[Cantidad]]="","",+Ventas[[#This Row],[Cantidad]]*Ventas[[#This Row],[Precio]])</f>
        <v>400</v>
      </c>
      <c r="J4180" s="57" t="str">
        <f>IFERROR(+VLOOKUP(Ventas[[#This Row],[Codigo de Producto]],Productos[#All],2,FALSE),"")</f>
        <v>Dispiasa</v>
      </c>
      <c r="K4180" s="57">
        <f ca="1">IFERROR(+VLOOKUP(Ventas[[#This Row],[Codigo de Producto]],Productos[#All],9,FALSE),"")</f>
        <v>311</v>
      </c>
      <c r="M4180" s="57">
        <f t="shared" ca="1" si="1283"/>
        <v>311</v>
      </c>
      <c r="N4180" s="57">
        <f t="shared" ca="1" si="1284"/>
        <v>89</v>
      </c>
    </row>
    <row r="4181" spans="1:14" x14ac:dyDescent="0.25">
      <c r="A4181">
        <v>27</v>
      </c>
      <c r="B4181" s="1">
        <v>44168</v>
      </c>
      <c r="C4181" s="57" t="str">
        <f>IF(Ventas[[#This Row],[Fecha ]]="","",+TEXT(B4181,"mmmm"))</f>
        <v>diciembre</v>
      </c>
      <c r="D4181" s="57" t="str">
        <f>IFERROR(+VLOOKUP(Ventas[[#This Row],[Codigo de Producto]],Productos[#All],3,FALSE),"")</f>
        <v>Cerámica</v>
      </c>
      <c r="E4181" t="s">
        <v>892</v>
      </c>
      <c r="F4181" s="57" t="str">
        <f>IFERROR(+VLOOKUP(Ventas[[#This Row],[Codigo de Producto]],Productos[#All],4,FALSE),"")</f>
        <v>Babilonia Blanco</v>
      </c>
      <c r="G4181">
        <f>3/9</f>
        <v>0.33333333333333331</v>
      </c>
      <c r="H4181">
        <v>300</v>
      </c>
      <c r="I4181" s="57">
        <f>IF(Ventas[[#This Row],[Cantidad]]="","",+Ventas[[#This Row],[Cantidad]]*Ventas[[#This Row],[Precio]])</f>
        <v>100</v>
      </c>
      <c r="J4181" s="57" t="str">
        <f>IFERROR(+VLOOKUP(Ventas[[#This Row],[Codigo de Producto]],Productos[#All],2,FALSE),"")</f>
        <v>Comasa</v>
      </c>
      <c r="K4181" s="57">
        <f ca="1">IFERROR(+VLOOKUP(Ventas[[#This Row],[Codigo de Producto]],Productos[#All],9,FALSE),"")</f>
        <v>216.82</v>
      </c>
      <c r="M4181" s="57">
        <f t="shared" ca="1" si="1283"/>
        <v>72.273333333333326</v>
      </c>
      <c r="N4181" s="57">
        <f t="shared" ca="1" si="1284"/>
        <v>27.726666666666674</v>
      </c>
    </row>
    <row r="4182" spans="1:14" x14ac:dyDescent="0.25">
      <c r="A4182">
        <v>28</v>
      </c>
      <c r="B4182" s="1">
        <v>44168</v>
      </c>
      <c r="C4182" s="57" t="str">
        <f>IF(Ventas[[#This Row],[Fecha ]]="","",+TEXT(B4182,"mmmm"))</f>
        <v>diciembre</v>
      </c>
      <c r="D4182" s="57" t="str">
        <f>IFERROR(+VLOOKUP(Ventas[[#This Row],[Codigo de Producto]],Productos[#All],3,FALSE),"")</f>
        <v>Porcelana</v>
      </c>
      <c r="E4182" t="s">
        <v>708</v>
      </c>
      <c r="F4182" s="57" t="str">
        <f>IFERROR(+VLOOKUP(Ventas[[#This Row],[Codigo de Producto]],Productos[#All],4,FALSE),"")</f>
        <v xml:space="preserve">Porcelana Maya </v>
      </c>
      <c r="G4182">
        <v>1</v>
      </c>
      <c r="H4182">
        <v>60</v>
      </c>
      <c r="I4182" s="57">
        <f>IF(Ventas[[#This Row],[Cantidad]]="","",+Ventas[[#This Row],[Cantidad]]*Ventas[[#This Row],[Precio]])</f>
        <v>60</v>
      </c>
      <c r="J4182" s="57" t="str">
        <f>IFERROR(+VLOOKUP(Ventas[[#This Row],[Codigo de Producto]],Productos[#All],2,FALSE),"")</f>
        <v>Martinez</v>
      </c>
      <c r="K4182" s="57">
        <f>IFERROR(+VLOOKUP(Ventas[[#This Row],[Codigo de Producto]],Productos[#All],9,FALSE),"")</f>
        <v>33.333333333333336</v>
      </c>
      <c r="M4182" s="57">
        <f t="shared" si="1283"/>
        <v>33.333333333333336</v>
      </c>
      <c r="N4182" s="57">
        <f t="shared" si="1284"/>
        <v>26.666666666666664</v>
      </c>
    </row>
    <row r="4183" spans="1:14" x14ac:dyDescent="0.25">
      <c r="A4183">
        <v>29</v>
      </c>
      <c r="B4183" s="1">
        <v>44168</v>
      </c>
      <c r="C4183" s="57" t="str">
        <f>IF(Ventas[[#This Row],[Fecha ]]="","",+TEXT(B4183,"mmmm"))</f>
        <v>diciembre</v>
      </c>
      <c r="D4183" s="57" t="str">
        <f>IFERROR(+VLOOKUP(Ventas[[#This Row],[Codigo de Producto]],Productos[#All],3,FALSE),"")</f>
        <v>Bond</v>
      </c>
      <c r="E4183" t="s">
        <v>704</v>
      </c>
      <c r="F4183" s="57" t="str">
        <f>IFERROR(+VLOOKUP(Ventas[[#This Row],[Codigo de Producto]],Productos[#All],4,FALSE),"")</f>
        <v>Drytec Bond Plus</v>
      </c>
      <c r="G4183">
        <v>4</v>
      </c>
      <c r="H4183">
        <v>155</v>
      </c>
      <c r="I4183" s="57">
        <f>IF(Ventas[[#This Row],[Cantidad]]="","",+Ventas[[#This Row],[Cantidad]]*Ventas[[#This Row],[Precio]])</f>
        <v>620</v>
      </c>
      <c r="J4183" s="57" t="str">
        <f>IFERROR(+VLOOKUP(Ventas[[#This Row],[Codigo de Producto]],Productos[#All],2,FALSE),"")</f>
        <v>Comasa</v>
      </c>
      <c r="K4183" s="57">
        <f>IFERROR(+VLOOKUP(Ventas[[#This Row],[Codigo de Producto]],Productos[#All],9,FALSE),"")</f>
        <v>127</v>
      </c>
      <c r="M4183" s="57">
        <f t="shared" si="1283"/>
        <v>508</v>
      </c>
      <c r="N4183" s="57">
        <f t="shared" si="1284"/>
        <v>112</v>
      </c>
    </row>
    <row r="4184" spans="1:14" x14ac:dyDescent="0.25">
      <c r="A4184">
        <v>30</v>
      </c>
      <c r="B4184" s="1">
        <v>44168</v>
      </c>
      <c r="C4184" s="57" t="str">
        <f>IF(Ventas[[#This Row],[Fecha ]]="","",+TEXT(B4184,"mmmm"))</f>
        <v>diciembre</v>
      </c>
      <c r="D4184" s="57" t="str">
        <f>IFERROR(+VLOOKUP(Ventas[[#This Row],[Codigo de Producto]],Productos[#All],3,FALSE),"")</f>
        <v>Porcelana</v>
      </c>
      <c r="E4184" t="s">
        <v>708</v>
      </c>
      <c r="F4184" s="57" t="str">
        <f>IFERROR(+VLOOKUP(Ventas[[#This Row],[Codigo de Producto]],Productos[#All],4,FALSE),"")</f>
        <v xml:space="preserve">Porcelana Maya </v>
      </c>
      <c r="G4184">
        <v>2</v>
      </c>
      <c r="H4184">
        <v>60</v>
      </c>
      <c r="I4184" s="57">
        <f>IF(Ventas[[#This Row],[Cantidad]]="","",+Ventas[[#This Row],[Cantidad]]*Ventas[[#This Row],[Precio]])</f>
        <v>120</v>
      </c>
      <c r="J4184" s="57" t="str">
        <f>IFERROR(+VLOOKUP(Ventas[[#This Row],[Codigo de Producto]],Productos[#All],2,FALSE),"")</f>
        <v>Martinez</v>
      </c>
      <c r="K4184" s="57">
        <f>IFERROR(+VLOOKUP(Ventas[[#This Row],[Codigo de Producto]],Productos[#All],9,FALSE),"")</f>
        <v>33.333333333333336</v>
      </c>
      <c r="M4184" s="57">
        <f t="shared" si="1283"/>
        <v>66.666666666666671</v>
      </c>
      <c r="N4184" s="57">
        <f t="shared" si="1284"/>
        <v>53.333333333333329</v>
      </c>
    </row>
    <row r="4185" spans="1:14" x14ac:dyDescent="0.25">
      <c r="A4185">
        <v>31</v>
      </c>
      <c r="B4185" s="1">
        <v>44168</v>
      </c>
      <c r="C4185" s="57" t="str">
        <f>IF(Ventas[[#This Row],[Fecha ]]="","",+TEXT(B4185,"mmmm"))</f>
        <v>diciembre</v>
      </c>
      <c r="D4185" s="57" t="str">
        <f>IFERROR(+VLOOKUP(Ventas[[#This Row],[Codigo de Producto]],Productos[#All],3,FALSE),"")</f>
        <v>Bond</v>
      </c>
      <c r="E4185" t="s">
        <v>704</v>
      </c>
      <c r="F4185" s="57" t="str">
        <f>IFERROR(+VLOOKUP(Ventas[[#This Row],[Codigo de Producto]],Productos[#All],4,FALSE),"")</f>
        <v>Drytec Bond Plus</v>
      </c>
      <c r="G4185">
        <v>1</v>
      </c>
      <c r="H4185">
        <v>155</v>
      </c>
      <c r="I4185" s="57">
        <f>IF(Ventas[[#This Row],[Cantidad]]="","",+Ventas[[#This Row],[Cantidad]]*Ventas[[#This Row],[Precio]])</f>
        <v>155</v>
      </c>
      <c r="J4185" s="57" t="str">
        <f>IFERROR(+VLOOKUP(Ventas[[#This Row],[Codigo de Producto]],Productos[#All],2,FALSE),"")</f>
        <v>Comasa</v>
      </c>
      <c r="K4185" s="57">
        <f>IFERROR(+VLOOKUP(Ventas[[#This Row],[Codigo de Producto]],Productos[#All],9,FALSE),"")</f>
        <v>127</v>
      </c>
      <c r="M4185" s="57">
        <f t="shared" si="1283"/>
        <v>127</v>
      </c>
      <c r="N4185" s="57">
        <f t="shared" si="1284"/>
        <v>28</v>
      </c>
    </row>
    <row r="4186" spans="1:14" x14ac:dyDescent="0.25">
      <c r="A4186">
        <v>32</v>
      </c>
      <c r="B4186" s="1">
        <v>44168</v>
      </c>
      <c r="C4186" s="57" t="str">
        <f>IF(Ventas[[#This Row],[Fecha ]]="","",+TEXT(B4186,"mmmm"))</f>
        <v>diciembre</v>
      </c>
      <c r="D4186" s="57" t="str">
        <f>IFERROR(+VLOOKUP(Ventas[[#This Row],[Codigo de Producto]],Productos[#All],3,FALSE),"")</f>
        <v>Cerámica</v>
      </c>
      <c r="E4186" t="s">
        <v>903</v>
      </c>
      <c r="F4186" s="57" t="str">
        <f>IFERROR(+VLOOKUP(Ventas[[#This Row],[Codigo de Producto]],Productos[#All],4,FALSE),"")</f>
        <v>Amazonas Beige</v>
      </c>
      <c r="G4186">
        <f>3/4.9</f>
        <v>0.61224489795918358</v>
      </c>
      <c r="H4186">
        <v>360</v>
      </c>
      <c r="I4186" s="57">
        <f>IF(Ventas[[#This Row],[Cantidad]]="","",+Ventas[[#This Row],[Cantidad]]*Ventas[[#This Row],[Precio]])</f>
        <v>220.40816326530609</v>
      </c>
      <c r="J4186" s="57" t="str">
        <f>IFERROR(+VLOOKUP(Ventas[[#This Row],[Codigo de Producto]],Productos[#All],2,FALSE),"")</f>
        <v>Dispiasa</v>
      </c>
      <c r="K4186" s="57">
        <f>IFERROR(+VLOOKUP(Ventas[[#This Row],[Codigo de Producto]],Productos[#All],9,FALSE),"")</f>
        <v>306</v>
      </c>
      <c r="M4186" s="57">
        <f t="shared" si="1283"/>
        <v>187.34693877551018</v>
      </c>
      <c r="N4186" s="57">
        <f t="shared" si="1284"/>
        <v>33.061224489795904</v>
      </c>
    </row>
    <row r="4187" spans="1:14" x14ac:dyDescent="0.25">
      <c r="A4187">
        <v>33</v>
      </c>
      <c r="B4187" s="1">
        <v>44168</v>
      </c>
      <c r="C4187" s="57" t="str">
        <f>IF(Ventas[[#This Row],[Fecha ]]="","",+TEXT(B4187,"mmmm"))</f>
        <v>diciembre</v>
      </c>
      <c r="D4187" s="57" t="str">
        <f>IFERROR(+VLOOKUP(Ventas[[#This Row],[Codigo de Producto]],Productos[#All],3,FALSE),"")</f>
        <v>Plasterbond</v>
      </c>
      <c r="E4187" t="s">
        <v>713</v>
      </c>
      <c r="F4187" s="57" t="str">
        <f>IFERROR(+VLOOKUP(Ventas[[#This Row],[Codigo de Producto]],Productos[#All],4,FALSE),"")</f>
        <v>Plasterbond Klebe</v>
      </c>
      <c r="G4187">
        <v>1</v>
      </c>
      <c r="H4187">
        <v>100</v>
      </c>
      <c r="I4187" s="57">
        <f>IF(Ventas[[#This Row],[Cantidad]]="","",+Ventas[[#This Row],[Cantidad]]*Ventas[[#This Row],[Precio]])</f>
        <v>100</v>
      </c>
      <c r="J4187" s="57" t="str">
        <f>IFERROR(+VLOOKUP(Ventas[[#This Row],[Codigo de Producto]],Productos[#All],2,FALSE),"")</f>
        <v>Aginsa</v>
      </c>
      <c r="K4187" s="57">
        <f>IFERROR(+VLOOKUP(Ventas[[#This Row],[Codigo de Producto]],Productos[#All],9,FALSE),"")</f>
        <v>80</v>
      </c>
      <c r="M4187" s="57">
        <f t="shared" ref="M4187:M4218" si="1285">+IF(K4187=0,(""),(K4187*G4187))</f>
        <v>80</v>
      </c>
      <c r="N4187" s="57">
        <f t="shared" ref="N4187:N4203" si="1286">+IF(K4187=0,(""),(I4187-M4187))</f>
        <v>20</v>
      </c>
    </row>
    <row r="4188" spans="1:14" x14ac:dyDescent="0.25">
      <c r="A4188">
        <v>34</v>
      </c>
      <c r="B4188" s="1">
        <v>44168</v>
      </c>
      <c r="C4188" s="57" t="str">
        <f>IF(Ventas[[#This Row],[Fecha ]]="","",+TEXT(B4188,"mmmm"))</f>
        <v>diciembre</v>
      </c>
      <c r="D4188" s="57" t="str">
        <f>IFERROR(+VLOOKUP(Ventas[[#This Row],[Codigo de Producto]],Productos[#All],3,FALSE),"")</f>
        <v>Bond</v>
      </c>
      <c r="E4188" t="s">
        <v>704</v>
      </c>
      <c r="F4188" s="57" t="str">
        <f>IFERROR(+VLOOKUP(Ventas[[#This Row],[Codigo de Producto]],Productos[#All],4,FALSE),"")</f>
        <v>Drytec Bond Plus</v>
      </c>
      <c r="G4188">
        <v>22</v>
      </c>
      <c r="H4188">
        <v>155</v>
      </c>
      <c r="I4188" s="57">
        <f>IF(Ventas[[#This Row],[Cantidad]]="","",+Ventas[[#This Row],[Cantidad]]*Ventas[[#This Row],[Precio]])</f>
        <v>3410</v>
      </c>
      <c r="J4188" s="57" t="str">
        <f>IFERROR(+VLOOKUP(Ventas[[#This Row],[Codigo de Producto]],Productos[#All],2,FALSE),"")</f>
        <v>Comasa</v>
      </c>
      <c r="K4188" s="57">
        <f>IFERROR(+VLOOKUP(Ventas[[#This Row],[Codigo de Producto]],Productos[#All],9,FALSE),"")</f>
        <v>127</v>
      </c>
      <c r="M4188" s="57">
        <f t="shared" si="1285"/>
        <v>2794</v>
      </c>
      <c r="N4188" s="57">
        <f t="shared" si="1286"/>
        <v>616</v>
      </c>
    </row>
    <row r="4189" spans="1:14" x14ac:dyDescent="0.25">
      <c r="A4189">
        <v>35</v>
      </c>
      <c r="B4189" s="1">
        <v>44168</v>
      </c>
      <c r="C4189" s="57" t="str">
        <f>IF(Ventas[[#This Row],[Fecha ]]="","",+TEXT(B4189,"mmmm"))</f>
        <v>diciembre</v>
      </c>
      <c r="D4189" s="57" t="str">
        <f>IFERROR(+VLOOKUP(Ventas[[#This Row],[Codigo de Producto]],Productos[#All],3,FALSE),"")</f>
        <v>Separadores</v>
      </c>
      <c r="E4189" t="s">
        <v>721</v>
      </c>
      <c r="F4189" s="57" t="str">
        <f>IFERROR(+VLOOKUP(Ventas[[#This Row],[Codigo de Producto]],Productos[#All],4,FALSE),"")</f>
        <v>Separadores de 4 mm</v>
      </c>
      <c r="G4189">
        <v>1</v>
      </c>
      <c r="H4189">
        <v>35</v>
      </c>
      <c r="I4189" s="57">
        <f>IF(Ventas[[#This Row],[Cantidad]]="","",+Ventas[[#This Row],[Cantidad]]*Ventas[[#This Row],[Precio]])</f>
        <v>35</v>
      </c>
      <c r="J4189" s="57" t="str">
        <f>IFERROR(+VLOOKUP(Ventas[[#This Row],[Codigo de Producto]],Productos[#All],2,FALSE),"")</f>
        <v>Silco</v>
      </c>
      <c r="K4189" s="57">
        <f>IFERROR(+VLOOKUP(Ventas[[#This Row],[Codigo de Producto]],Productos[#All],9,FALSE),"")</f>
        <v>22</v>
      </c>
      <c r="M4189" s="57">
        <f t="shared" si="1285"/>
        <v>22</v>
      </c>
      <c r="N4189" s="57">
        <f t="shared" si="1286"/>
        <v>13</v>
      </c>
    </row>
    <row r="4190" spans="1:14" x14ac:dyDescent="0.25">
      <c r="A4190">
        <v>36</v>
      </c>
      <c r="B4190" s="1">
        <v>44168</v>
      </c>
      <c r="C4190" s="57" t="str">
        <f>IF(Ventas[[#This Row],[Fecha ]]="","",+TEXT(B4190,"mmmm"))</f>
        <v>diciembre</v>
      </c>
      <c r="D4190" s="57" t="str">
        <f>IFERROR(+VLOOKUP(Ventas[[#This Row],[Codigo de Producto]],Productos[#All],3,FALSE),"")</f>
        <v>Porcelana</v>
      </c>
      <c r="E4190" t="s">
        <v>708</v>
      </c>
      <c r="F4190" s="57" t="str">
        <f>IFERROR(+VLOOKUP(Ventas[[#This Row],[Codigo de Producto]],Productos[#All],4,FALSE),"")</f>
        <v xml:space="preserve">Porcelana Maya </v>
      </c>
      <c r="G4190">
        <v>4</v>
      </c>
      <c r="H4190">
        <v>60</v>
      </c>
      <c r="I4190" s="57">
        <f>IF(Ventas[[#This Row],[Cantidad]]="","",+Ventas[[#This Row],[Cantidad]]*Ventas[[#This Row],[Precio]])</f>
        <v>240</v>
      </c>
      <c r="J4190" s="57" t="str">
        <f>IFERROR(+VLOOKUP(Ventas[[#This Row],[Codigo de Producto]],Productos[#All],2,FALSE),"")</f>
        <v>Martinez</v>
      </c>
      <c r="K4190" s="57">
        <f>IFERROR(+VLOOKUP(Ventas[[#This Row],[Codigo de Producto]],Productos[#All],9,FALSE),"")</f>
        <v>33.333333333333336</v>
      </c>
      <c r="M4190" s="57">
        <f t="shared" si="1285"/>
        <v>133.33333333333334</v>
      </c>
      <c r="N4190" s="57">
        <f t="shared" si="1286"/>
        <v>106.66666666666666</v>
      </c>
    </row>
    <row r="4191" spans="1:14" x14ac:dyDescent="0.25">
      <c r="A4191">
        <v>37</v>
      </c>
      <c r="B4191" s="1">
        <v>44168</v>
      </c>
      <c r="C4191" s="57" t="str">
        <f>IF(Ventas[[#This Row],[Fecha ]]="","",+TEXT(B4191,"mmmm"))</f>
        <v>diciembre</v>
      </c>
      <c r="D4191" s="57" t="str">
        <f>IFERROR(+VLOOKUP(Ventas[[#This Row],[Codigo de Producto]],Productos[#All],3,FALSE),"")</f>
        <v>Plasterbond</v>
      </c>
      <c r="E4191" t="s">
        <v>713</v>
      </c>
      <c r="F4191" s="57" t="str">
        <f>IFERROR(+VLOOKUP(Ventas[[#This Row],[Codigo de Producto]],Productos[#All],4,FALSE),"")</f>
        <v>Plasterbond Klebe</v>
      </c>
      <c r="G4191">
        <v>1.2</v>
      </c>
      <c r="H4191">
        <v>100</v>
      </c>
      <c r="I4191" s="57">
        <f>IF(Ventas[[#This Row],[Cantidad]]="","",+Ventas[[#This Row],[Cantidad]]*Ventas[[#This Row],[Precio]])</f>
        <v>120</v>
      </c>
      <c r="J4191" s="57" t="str">
        <f>IFERROR(+VLOOKUP(Ventas[[#This Row],[Codigo de Producto]],Productos[#All],2,FALSE),"")</f>
        <v>Aginsa</v>
      </c>
      <c r="K4191" s="57">
        <f>IFERROR(+VLOOKUP(Ventas[[#This Row],[Codigo de Producto]],Productos[#All],9,FALSE),"")</f>
        <v>80</v>
      </c>
      <c r="M4191" s="57">
        <f t="shared" si="1285"/>
        <v>96</v>
      </c>
      <c r="N4191" s="57">
        <f t="shared" si="1286"/>
        <v>24</v>
      </c>
    </row>
    <row r="4192" spans="1:14" x14ac:dyDescent="0.25">
      <c r="A4192">
        <v>38</v>
      </c>
      <c r="B4192" s="1">
        <v>44168</v>
      </c>
      <c r="C4192" s="57" t="str">
        <f>IF(Ventas[[#This Row],[Fecha ]]="","",+TEXT(B4192,"mmmm"))</f>
        <v>diciembre</v>
      </c>
      <c r="D4192" s="57" t="str">
        <f>IFERROR(+VLOOKUP(Ventas[[#This Row],[Codigo de Producto]],Productos[#All],3,FALSE),"")</f>
        <v>Porcelana</v>
      </c>
      <c r="E4192" t="s">
        <v>708</v>
      </c>
      <c r="F4192" s="57" t="str">
        <f>IFERROR(+VLOOKUP(Ventas[[#This Row],[Codigo de Producto]],Productos[#All],4,FALSE),"")</f>
        <v xml:space="preserve">Porcelana Maya </v>
      </c>
      <c r="G4192">
        <v>8</v>
      </c>
      <c r="H4192">
        <v>60</v>
      </c>
      <c r="I4192" s="57">
        <f>IF(Ventas[[#This Row],[Cantidad]]="","",+Ventas[[#This Row],[Cantidad]]*Ventas[[#This Row],[Precio]])</f>
        <v>480</v>
      </c>
      <c r="J4192" s="57" t="str">
        <f>IFERROR(+VLOOKUP(Ventas[[#This Row],[Codigo de Producto]],Productos[#All],2,FALSE),"")</f>
        <v>Martinez</v>
      </c>
      <c r="K4192" s="57">
        <f>IFERROR(+VLOOKUP(Ventas[[#This Row],[Codigo de Producto]],Productos[#All],9,FALSE),"")</f>
        <v>33.333333333333336</v>
      </c>
      <c r="M4192" s="57">
        <f t="shared" si="1285"/>
        <v>266.66666666666669</v>
      </c>
      <c r="N4192" s="57">
        <f t="shared" si="1286"/>
        <v>213.33333333333331</v>
      </c>
    </row>
    <row r="4193" spans="1:14" x14ac:dyDescent="0.25">
      <c r="A4193">
        <v>39</v>
      </c>
      <c r="B4193" s="1">
        <v>44168</v>
      </c>
      <c r="C4193" s="57" t="str">
        <f>IF(Ventas[[#This Row],[Fecha ]]="","",+TEXT(B4193,"mmmm"))</f>
        <v>diciembre</v>
      </c>
      <c r="D4193" s="57" t="str">
        <f>IFERROR(+VLOOKUP(Ventas[[#This Row],[Codigo de Producto]],Productos[#All],3,FALSE),"")</f>
        <v>Baño</v>
      </c>
      <c r="E4193" t="s">
        <v>904</v>
      </c>
      <c r="F4193" s="57" t="str">
        <f>IFERROR(+VLOOKUP(Ventas[[#This Row],[Codigo de Producto]],Productos[#All],4,FALSE),"")</f>
        <v>Accesorios de baño</v>
      </c>
      <c r="G4193">
        <v>1</v>
      </c>
      <c r="H4193">
        <v>275</v>
      </c>
      <c r="I4193" s="57">
        <f>IF(Ventas[[#This Row],[Cantidad]]="","",+Ventas[[#This Row],[Cantidad]]*Ventas[[#This Row],[Precio]])</f>
        <v>275</v>
      </c>
      <c r="J4193" s="57" t="str">
        <f>IFERROR(+VLOOKUP(Ventas[[#This Row],[Codigo de Producto]],Productos[#All],2,FALSE),"")</f>
        <v>Silco</v>
      </c>
      <c r="K4193" s="57">
        <f>IFERROR(+VLOOKUP(Ventas[[#This Row],[Codigo de Producto]],Productos[#All],9,FALSE),"")</f>
        <v>190</v>
      </c>
      <c r="M4193" s="57">
        <f t="shared" si="1285"/>
        <v>190</v>
      </c>
      <c r="N4193" s="57">
        <f t="shared" si="1286"/>
        <v>85</v>
      </c>
    </row>
    <row r="4194" spans="1:14" x14ac:dyDescent="0.25">
      <c r="A4194">
        <v>40</v>
      </c>
      <c r="B4194" s="1">
        <v>44168</v>
      </c>
      <c r="C4194" s="57" t="str">
        <f>IF(Ventas[[#This Row],[Fecha ]]="","",+TEXT(B4194,"mmmm"))</f>
        <v>diciembre</v>
      </c>
      <c r="D4194" s="57" t="str">
        <f>IFERROR(+VLOOKUP(Ventas[[#This Row],[Codigo de Producto]],Productos[#All],3,FALSE),"")</f>
        <v>Inodoro</v>
      </c>
      <c r="E4194" t="s">
        <v>618</v>
      </c>
      <c r="F4194" s="57" t="str">
        <f>IFERROR(+VLOOKUP(Ventas[[#This Row],[Codigo de Producto]],Productos[#All],4,FALSE),"")</f>
        <v>Inodoro Aqua Blanco</v>
      </c>
      <c r="G4194">
        <v>1</v>
      </c>
      <c r="H4194">
        <v>1650</v>
      </c>
      <c r="I4194" s="57">
        <f>IF(Ventas[[#This Row],[Cantidad]]="","",+Ventas[[#This Row],[Cantidad]]*Ventas[[#This Row],[Precio]])</f>
        <v>1650</v>
      </c>
      <c r="J4194" s="57" t="str">
        <f>IFERROR(+VLOOKUP(Ventas[[#This Row],[Codigo de Producto]],Productos[#All],2,FALSE),"")</f>
        <v>Dispiasa</v>
      </c>
      <c r="K4194" s="57">
        <f>IFERROR(+VLOOKUP(Ventas[[#This Row],[Codigo de Producto]],Productos[#All],9,FALSE),"")</f>
        <v>1440</v>
      </c>
      <c r="M4194" s="57">
        <f t="shared" si="1285"/>
        <v>1440</v>
      </c>
      <c r="N4194" s="57">
        <f t="shared" si="1286"/>
        <v>210</v>
      </c>
    </row>
    <row r="4195" spans="1:14" x14ac:dyDescent="0.25">
      <c r="A4195">
        <v>41</v>
      </c>
      <c r="B4195" s="1">
        <v>44168</v>
      </c>
      <c r="C4195" s="57" t="str">
        <f>IF(Ventas[[#This Row],[Fecha ]]="","",+TEXT(B4195,"mmmm"))</f>
        <v>diciembre</v>
      </c>
      <c r="D4195" s="57" t="str">
        <f>IFERROR(+VLOOKUP(Ventas[[#This Row],[Codigo de Producto]],Productos[#All],3,FALSE),"")</f>
        <v>Lavamano</v>
      </c>
      <c r="E4195" t="s">
        <v>891</v>
      </c>
      <c r="F4195" s="57" t="str">
        <f>IFERROR(+VLOOKUP(Ventas[[#This Row],[Codigo de Producto]],Productos[#All],4,FALSE),"")</f>
        <v>Lavamano Blanco Jazmin/ Pedestal Cato</v>
      </c>
      <c r="G4195">
        <v>1</v>
      </c>
      <c r="H4195">
        <v>2200</v>
      </c>
      <c r="I4195" s="57">
        <f>IF(Ventas[[#This Row],[Cantidad]]="","",+Ventas[[#This Row],[Cantidad]]*Ventas[[#This Row],[Precio]])</f>
        <v>2200</v>
      </c>
      <c r="J4195" s="57" t="str">
        <f>IFERROR(+VLOOKUP(Ventas[[#This Row],[Codigo de Producto]],Productos[#All],2,FALSE),"")</f>
        <v>Comasa</v>
      </c>
      <c r="K4195" s="57">
        <f ca="1">IFERROR(+VLOOKUP(Ventas[[#This Row],[Codigo de Producto]],Productos[#All],9,FALSE),"")</f>
        <v>1275</v>
      </c>
      <c r="M4195" s="57">
        <f t="shared" ca="1" si="1285"/>
        <v>1275</v>
      </c>
      <c r="N4195" s="57">
        <f t="shared" ca="1" si="1286"/>
        <v>925</v>
      </c>
    </row>
    <row r="4196" spans="1:14" x14ac:dyDescent="0.25">
      <c r="A4196">
        <v>42</v>
      </c>
      <c r="B4196" s="1">
        <v>44168</v>
      </c>
      <c r="C4196" s="57" t="str">
        <f>IF(Ventas[[#This Row],[Fecha ]]="","",+TEXT(B4196,"mmmm"))</f>
        <v>diciembre</v>
      </c>
      <c r="D4196" s="57" t="str">
        <f>IFERROR(+VLOOKUP(Ventas[[#This Row],[Codigo de Producto]],Productos[#All],3,FALSE),"")</f>
        <v>Cerámica</v>
      </c>
      <c r="E4196" t="s">
        <v>696</v>
      </c>
      <c r="F4196" s="57" t="str">
        <f>IFERROR(+VLOOKUP(Ventas[[#This Row],[Codigo de Producto]],Productos[#All],4,FALSE),"")</f>
        <v>Madera Cedro</v>
      </c>
      <c r="G4196">
        <v>28</v>
      </c>
      <c r="H4196">
        <v>270</v>
      </c>
      <c r="I4196" s="57">
        <f>IF(Ventas[[#This Row],[Cantidad]]="","",+Ventas[[#This Row],[Cantidad]]*Ventas[[#This Row],[Precio]])</f>
        <v>7560</v>
      </c>
      <c r="J4196" s="57" t="str">
        <f>IFERROR(+VLOOKUP(Ventas[[#This Row],[Codigo de Producto]],Productos[#All],2,FALSE),"")</f>
        <v>Comasa</v>
      </c>
      <c r="K4196" s="57">
        <f>IFERROR(+VLOOKUP(Ventas[[#This Row],[Codigo de Producto]],Productos[#All],9,FALSE),"")</f>
        <v>236</v>
      </c>
      <c r="M4196" s="57">
        <f t="shared" si="1285"/>
        <v>6608</v>
      </c>
      <c r="N4196" s="57">
        <f t="shared" si="1286"/>
        <v>952</v>
      </c>
    </row>
    <row r="4197" spans="1:14" x14ac:dyDescent="0.25">
      <c r="A4197">
        <v>43</v>
      </c>
      <c r="B4197" s="1">
        <v>44168</v>
      </c>
      <c r="C4197" s="57" t="str">
        <f>IF(Ventas[[#This Row],[Fecha ]]="","",+TEXT(B4197,"mmmm"))</f>
        <v>diciembre</v>
      </c>
      <c r="D4197" s="57" t="str">
        <f>IFERROR(+VLOOKUP(Ventas[[#This Row],[Codigo de Producto]],Productos[#All],3,FALSE),"")</f>
        <v>Bond</v>
      </c>
      <c r="E4197" t="s">
        <v>704</v>
      </c>
      <c r="F4197" s="57" t="str">
        <f>IFERROR(+VLOOKUP(Ventas[[#This Row],[Codigo de Producto]],Productos[#All],4,FALSE),"")</f>
        <v>Drytec Bond Plus</v>
      </c>
      <c r="G4197">
        <v>4</v>
      </c>
      <c r="H4197">
        <v>155</v>
      </c>
      <c r="I4197" s="57">
        <f>IF(Ventas[[#This Row],[Cantidad]]="","",+Ventas[[#This Row],[Cantidad]]*Ventas[[#This Row],[Precio]])</f>
        <v>620</v>
      </c>
      <c r="J4197" s="57" t="str">
        <f>IFERROR(+VLOOKUP(Ventas[[#This Row],[Codigo de Producto]],Productos[#All],2,FALSE),"")</f>
        <v>Comasa</v>
      </c>
      <c r="K4197" s="57">
        <f>IFERROR(+VLOOKUP(Ventas[[#This Row],[Codigo de Producto]],Productos[#All],9,FALSE),"")</f>
        <v>127</v>
      </c>
      <c r="M4197" s="57">
        <f t="shared" si="1285"/>
        <v>508</v>
      </c>
      <c r="N4197" s="57">
        <f t="shared" si="1286"/>
        <v>112</v>
      </c>
    </row>
    <row r="4198" spans="1:14" x14ac:dyDescent="0.25">
      <c r="A4198">
        <v>44</v>
      </c>
      <c r="B4198" s="1">
        <v>44168</v>
      </c>
      <c r="C4198" s="57" t="str">
        <f>IF(Ventas[[#This Row],[Fecha ]]="","",+TEXT(B4198,"mmmm"))</f>
        <v>diciembre</v>
      </c>
      <c r="D4198" s="57" t="str">
        <f>IFERROR(+VLOOKUP(Ventas[[#This Row],[Codigo de Producto]],Productos[#All],3,FALSE),"")</f>
        <v>Porcelana</v>
      </c>
      <c r="E4198" t="s">
        <v>708</v>
      </c>
      <c r="F4198" s="57" t="str">
        <f>IFERROR(+VLOOKUP(Ventas[[#This Row],[Codigo de Producto]],Productos[#All],4,FALSE),"")</f>
        <v xml:space="preserve">Porcelana Maya </v>
      </c>
      <c r="G4198">
        <v>2</v>
      </c>
      <c r="H4198">
        <v>60</v>
      </c>
      <c r="I4198" s="57">
        <f>IF(Ventas[[#This Row],[Cantidad]]="","",+Ventas[[#This Row],[Cantidad]]*Ventas[[#This Row],[Precio]])</f>
        <v>120</v>
      </c>
      <c r="J4198" s="57" t="str">
        <f>IFERROR(+VLOOKUP(Ventas[[#This Row],[Codigo de Producto]],Productos[#All],2,FALSE),"")</f>
        <v>Martinez</v>
      </c>
      <c r="K4198" s="57">
        <f>IFERROR(+VLOOKUP(Ventas[[#This Row],[Codigo de Producto]],Productos[#All],9,FALSE),"")</f>
        <v>33.333333333333336</v>
      </c>
      <c r="M4198" s="57">
        <f t="shared" si="1285"/>
        <v>66.666666666666671</v>
      </c>
      <c r="N4198" s="57">
        <f t="shared" si="1286"/>
        <v>53.333333333333329</v>
      </c>
    </row>
    <row r="4199" spans="1:14" x14ac:dyDescent="0.25">
      <c r="A4199">
        <v>45</v>
      </c>
      <c r="B4199" s="1">
        <v>44168</v>
      </c>
      <c r="C4199" s="57" t="str">
        <f>IF(Ventas[[#This Row],[Fecha ]]="","",+TEXT(B4199,"mmmm"))</f>
        <v>diciembre</v>
      </c>
      <c r="D4199" s="57" t="str">
        <f>IFERROR(+VLOOKUP(Ventas[[#This Row],[Codigo de Producto]],Productos[#All],3,FALSE),"")</f>
        <v>Cerámica</v>
      </c>
      <c r="E4199" t="s">
        <v>646</v>
      </c>
      <c r="F4199" s="57" t="str">
        <f>IFERROR(+VLOOKUP(Ventas[[#This Row],[Codigo de Producto]],Productos[#All],4,FALSE),"")</f>
        <v>Zacatepec Marrón</v>
      </c>
      <c r="G4199">
        <v>7</v>
      </c>
      <c r="H4199">
        <v>250</v>
      </c>
      <c r="I4199" s="57">
        <f>IF(Ventas[[#This Row],[Cantidad]]="","",+Ventas[[#This Row],[Cantidad]]*Ventas[[#This Row],[Precio]])</f>
        <v>1750</v>
      </c>
      <c r="J4199" s="57" t="str">
        <f>IFERROR(+VLOOKUP(Ventas[[#This Row],[Codigo de Producto]],Productos[#All],2,FALSE),"")</f>
        <v>Dispiasa</v>
      </c>
      <c r="K4199" s="57">
        <f>IFERROR(+VLOOKUP(Ventas[[#This Row],[Codigo de Producto]],Productos[#All],9,FALSE),"")</f>
        <v>219</v>
      </c>
      <c r="M4199" s="57">
        <f t="shared" si="1285"/>
        <v>1533</v>
      </c>
      <c r="N4199" s="57">
        <f t="shared" si="1286"/>
        <v>217</v>
      </c>
    </row>
    <row r="4200" spans="1:14" x14ac:dyDescent="0.25">
      <c r="A4200">
        <v>46</v>
      </c>
      <c r="B4200" s="1">
        <v>44168</v>
      </c>
      <c r="C4200" s="57" t="str">
        <f>IF(Ventas[[#This Row],[Fecha ]]="","",+TEXT(B4200,"mmmm"))</f>
        <v>diciembre</v>
      </c>
      <c r="D4200" s="57" t="str">
        <f>IFERROR(+VLOOKUP(Ventas[[#This Row],[Codigo de Producto]],Productos[#All],3,FALSE),"")</f>
        <v>Cerámica</v>
      </c>
      <c r="E4200" t="s">
        <v>679</v>
      </c>
      <c r="F4200" s="57" t="str">
        <f>IFERROR(+VLOOKUP(Ventas[[#This Row],[Codigo de Producto]],Productos[#All],4,FALSE),"")</f>
        <v>Rio Gris Granilla</v>
      </c>
      <c r="G4200">
        <f>9/10</f>
        <v>0.9</v>
      </c>
      <c r="H4200">
        <v>250</v>
      </c>
      <c r="I4200" s="57">
        <f>IF(Ventas[[#This Row],[Cantidad]]="","",+Ventas[[#This Row],[Cantidad]]*Ventas[[#This Row],[Precio]])</f>
        <v>225</v>
      </c>
      <c r="J4200" s="57" t="str">
        <f>IFERROR(+VLOOKUP(Ventas[[#This Row],[Codigo de Producto]],Productos[#All],2,FALSE),"")</f>
        <v>Dispiasa</v>
      </c>
      <c r="K4200" s="57">
        <f>IFERROR(+VLOOKUP(Ventas[[#This Row],[Codigo de Producto]],Productos[#All],9,FALSE),"")</f>
        <v>210</v>
      </c>
      <c r="M4200" s="57">
        <f t="shared" si="1285"/>
        <v>189</v>
      </c>
      <c r="N4200" s="57">
        <f t="shared" si="1286"/>
        <v>36</v>
      </c>
    </row>
    <row r="4201" spans="1:14" x14ac:dyDescent="0.25">
      <c r="A4201">
        <v>47</v>
      </c>
      <c r="B4201" s="1">
        <v>44168</v>
      </c>
      <c r="C4201" s="57" t="str">
        <f>IF(Ventas[[#This Row],[Fecha ]]="","",+TEXT(B4201,"mmmm"))</f>
        <v>diciembre</v>
      </c>
      <c r="D4201" s="57" t="str">
        <f>IFERROR(+VLOOKUP(Ventas[[#This Row],[Codigo de Producto]],Productos[#All],3,FALSE),"")</f>
        <v>Cerámica</v>
      </c>
      <c r="E4201" t="s">
        <v>892</v>
      </c>
      <c r="F4201" s="57" t="str">
        <f>IFERROR(+VLOOKUP(Ventas[[#This Row],[Codigo de Producto]],Productos[#All],4,FALSE),"")</f>
        <v>Babilonia Blanco</v>
      </c>
      <c r="G4201">
        <v>4</v>
      </c>
      <c r="H4201">
        <v>240</v>
      </c>
      <c r="I4201" s="57">
        <f>IF(Ventas[[#This Row],[Cantidad]]="","",+Ventas[[#This Row],[Cantidad]]*Ventas[[#This Row],[Precio]])</f>
        <v>960</v>
      </c>
      <c r="J4201" s="57" t="str">
        <f>IFERROR(+VLOOKUP(Ventas[[#This Row],[Codigo de Producto]],Productos[#All],2,FALSE),"")</f>
        <v>Comasa</v>
      </c>
      <c r="K4201" s="57">
        <f ca="1">IFERROR(+VLOOKUP(Ventas[[#This Row],[Codigo de Producto]],Productos[#All],9,FALSE),"")</f>
        <v>216.82</v>
      </c>
      <c r="M4201" s="57">
        <f t="shared" ca="1" si="1285"/>
        <v>867.28</v>
      </c>
      <c r="N4201" s="57">
        <f t="shared" ca="1" si="1286"/>
        <v>92.720000000000027</v>
      </c>
    </row>
    <row r="4202" spans="1:14" x14ac:dyDescent="0.25">
      <c r="A4202">
        <v>48</v>
      </c>
      <c r="B4202" s="1">
        <v>44168</v>
      </c>
      <c r="C4202" s="57" t="str">
        <f>IF(Ventas[[#This Row],[Fecha ]]="","",+TEXT(B4202,"mmmm"))</f>
        <v>diciembre</v>
      </c>
      <c r="D4202" s="57" t="str">
        <f>IFERROR(+VLOOKUP(Ventas[[#This Row],[Codigo de Producto]],Productos[#All],3,FALSE),"")</f>
        <v>Separadores</v>
      </c>
      <c r="E4202" t="s">
        <v>719</v>
      </c>
      <c r="F4202" s="57" t="str">
        <f>IFERROR(+VLOOKUP(Ventas[[#This Row],[Codigo de Producto]],Productos[#All],4,FALSE),"")</f>
        <v>Separadores de 2 mm</v>
      </c>
      <c r="G4202">
        <v>1</v>
      </c>
      <c r="H4202">
        <v>35</v>
      </c>
      <c r="I4202" s="57">
        <f>IF(Ventas[[#This Row],[Cantidad]]="","",+Ventas[[#This Row],[Cantidad]]*Ventas[[#This Row],[Precio]])</f>
        <v>35</v>
      </c>
      <c r="J4202" s="57" t="str">
        <f>IFERROR(+VLOOKUP(Ventas[[#This Row],[Codigo de Producto]],Productos[#All],2,FALSE),"")</f>
        <v>Silco</v>
      </c>
      <c r="K4202" s="57">
        <f>IFERROR(+VLOOKUP(Ventas[[#This Row],[Codigo de Producto]],Productos[#All],9,FALSE),"")</f>
        <v>20</v>
      </c>
      <c r="M4202" s="57">
        <f t="shared" si="1285"/>
        <v>20</v>
      </c>
      <c r="N4202" s="57">
        <f t="shared" si="1286"/>
        <v>15</v>
      </c>
    </row>
    <row r="4203" spans="1:14" x14ac:dyDescent="0.25">
      <c r="A4203">
        <v>49</v>
      </c>
      <c r="B4203" s="1">
        <v>44168</v>
      </c>
      <c r="C4203" s="57" t="str">
        <f>IF(Ventas[[#This Row],[Fecha ]]="","",+TEXT(B4203,"mmmm"))</f>
        <v>diciembre</v>
      </c>
      <c r="D4203" s="57" t="str">
        <f>IFERROR(+VLOOKUP(Ventas[[#This Row],[Codigo de Producto]],Productos[#All],3,FALSE),"")</f>
        <v>Porcelana</v>
      </c>
      <c r="E4203" t="s">
        <v>708</v>
      </c>
      <c r="F4203" s="57" t="str">
        <f>IFERROR(+VLOOKUP(Ventas[[#This Row],[Codigo de Producto]],Productos[#All],4,FALSE),"")</f>
        <v xml:space="preserve">Porcelana Maya </v>
      </c>
      <c r="G4203">
        <v>2</v>
      </c>
      <c r="H4203">
        <v>60</v>
      </c>
      <c r="I4203" s="57">
        <f>IF(Ventas[[#This Row],[Cantidad]]="","",+Ventas[[#This Row],[Cantidad]]*Ventas[[#This Row],[Precio]])</f>
        <v>120</v>
      </c>
      <c r="J4203" s="57" t="str">
        <f>IFERROR(+VLOOKUP(Ventas[[#This Row],[Codigo de Producto]],Productos[#All],2,FALSE),"")</f>
        <v>Martinez</v>
      </c>
      <c r="K4203" s="57">
        <f>IFERROR(+VLOOKUP(Ventas[[#This Row],[Codigo de Producto]],Productos[#All],9,FALSE),"")</f>
        <v>33.333333333333336</v>
      </c>
      <c r="M4203" s="57">
        <f t="shared" si="1285"/>
        <v>66.666666666666671</v>
      </c>
      <c r="N4203" s="57">
        <f t="shared" si="1286"/>
        <v>53.333333333333329</v>
      </c>
    </row>
    <row r="4204" spans="1:14" x14ac:dyDescent="0.25">
      <c r="A4204">
        <v>50</v>
      </c>
      <c r="B4204" s="1">
        <v>44168</v>
      </c>
      <c r="C4204" s="57" t="str">
        <f>IF(Ventas[[#This Row],[Fecha ]]="","",+TEXT(B4204,"mmmm"))</f>
        <v>diciembre</v>
      </c>
      <c r="D4204" s="57" t="str">
        <f>IFERROR(+VLOOKUP(Ventas[[#This Row],[Codigo de Producto]],Productos[#All],3,FALSE),"")</f>
        <v>Cerámica</v>
      </c>
      <c r="E4204" t="s">
        <v>880</v>
      </c>
      <c r="F4204" s="57" t="str">
        <f>IFERROR(+VLOOKUP(Ventas[[#This Row],[Codigo de Producto]],Productos[#All],4,FALSE),"")</f>
        <v>Ebro Beige</v>
      </c>
      <c r="G4204">
        <f>2/9</f>
        <v>0.22222222222222221</v>
      </c>
      <c r="H4204">
        <v>300</v>
      </c>
      <c r="I4204" s="57">
        <f>IF(Ventas[[#This Row],[Cantidad]]="","",+Ventas[[#This Row],[Cantidad]]*Ventas[[#This Row],[Precio]])</f>
        <v>66.666666666666657</v>
      </c>
      <c r="J4204" s="57" t="str">
        <f>IFERROR(+VLOOKUP(Ventas[[#This Row],[Codigo de Producto]],Productos[#All],2,FALSE),"")</f>
        <v>Dispiasa</v>
      </c>
      <c r="K4204" s="57">
        <f ca="1">IFERROR(+VLOOKUP(Ventas[[#This Row],[Codigo de Producto]],Productos[#All],9,FALSE),"")</f>
        <v>268</v>
      </c>
      <c r="M4204" s="57">
        <f t="shared" ca="1" si="1285"/>
        <v>59.55555555555555</v>
      </c>
      <c r="N4204" s="57">
        <f t="shared" ref="N4204:N4219" ca="1" si="1287">+IF(K4204=0,(""),(I4204-M4204))</f>
        <v>7.1111111111111072</v>
      </c>
    </row>
    <row r="4205" spans="1:14" x14ac:dyDescent="0.25">
      <c r="A4205">
        <v>51</v>
      </c>
      <c r="B4205" s="1">
        <v>44169</v>
      </c>
      <c r="C4205" s="57" t="str">
        <f>IF(Ventas[[#This Row],[Fecha ]]="","",+TEXT(B4205,"mmmm"))</f>
        <v>diciembre</v>
      </c>
      <c r="D4205" s="57" t="str">
        <f>IFERROR(+VLOOKUP(Ventas[[#This Row],[Codigo de Producto]],Productos[#All],3,FALSE),"")</f>
        <v>Azulejos</v>
      </c>
      <c r="E4205" t="s">
        <v>640</v>
      </c>
      <c r="F4205" s="57" t="str">
        <f>IFERROR(+VLOOKUP(Ventas[[#This Row],[Codigo de Producto]],Productos[#All],4,FALSE),"")</f>
        <v>Marsella Visón</v>
      </c>
      <c r="G4205">
        <v>1.5</v>
      </c>
      <c r="H4205">
        <v>300</v>
      </c>
      <c r="I4205" s="57">
        <f>IF(Ventas[[#This Row],[Cantidad]]="","",+Ventas[[#This Row],[Cantidad]]*Ventas[[#This Row],[Precio]])</f>
        <v>450</v>
      </c>
      <c r="J4205" s="57" t="str">
        <f>IFERROR(+VLOOKUP(Ventas[[#This Row],[Codigo de Producto]],Productos[#All],2,FALSE),"")</f>
        <v>Dispiasa</v>
      </c>
      <c r="K4205" s="57">
        <f>IFERROR(+VLOOKUP(Ventas[[#This Row],[Codigo de Producto]],Productos[#All],9,FALSE),"")</f>
        <v>268</v>
      </c>
      <c r="M4205" s="57">
        <f t="shared" si="1285"/>
        <v>402</v>
      </c>
      <c r="N4205" s="57">
        <f t="shared" si="1287"/>
        <v>48</v>
      </c>
    </row>
    <row r="4206" spans="1:14" x14ac:dyDescent="0.25">
      <c r="A4206">
        <v>52</v>
      </c>
      <c r="B4206" s="1">
        <v>44169</v>
      </c>
      <c r="C4206" s="57" t="str">
        <f>IF(Ventas[[#This Row],[Fecha ]]="","",+TEXT(B4206,"mmmm"))</f>
        <v>diciembre</v>
      </c>
      <c r="D4206" s="57" t="str">
        <f>IFERROR(+VLOOKUP(Ventas[[#This Row],[Codigo de Producto]],Productos[#All],3,FALSE),"")</f>
        <v>Inodoro</v>
      </c>
      <c r="E4206" t="s">
        <v>874</v>
      </c>
      <c r="F4206" s="57" t="str">
        <f>IFERROR(+VLOOKUP(Ventas[[#This Row],[Codigo de Producto]],Productos[#All],4,FALSE),"")</f>
        <v>Inodoro Ecoline Azul</v>
      </c>
      <c r="G4206">
        <v>1</v>
      </c>
      <c r="H4206">
        <v>1950</v>
      </c>
      <c r="I4206" s="57">
        <f>IF(Ventas[[#This Row],[Cantidad]]="","",+Ventas[[#This Row],[Cantidad]]*Ventas[[#This Row],[Precio]])</f>
        <v>1950</v>
      </c>
      <c r="J4206" s="57" t="str">
        <f>IFERROR(+VLOOKUP(Ventas[[#This Row],[Codigo de Producto]],Productos[#All],2,FALSE),"")</f>
        <v>Dispiasa</v>
      </c>
      <c r="K4206" s="57">
        <f ca="1">IFERROR(+VLOOKUP(Ventas[[#This Row],[Codigo de Producto]],Productos[#All],9,FALSE),"")</f>
        <v>1718</v>
      </c>
      <c r="M4206" s="57">
        <f t="shared" ca="1" si="1285"/>
        <v>1718</v>
      </c>
      <c r="N4206" s="57">
        <f t="shared" ca="1" si="1287"/>
        <v>232</v>
      </c>
    </row>
    <row r="4207" spans="1:14" x14ac:dyDescent="0.25">
      <c r="A4207">
        <v>53</v>
      </c>
      <c r="B4207" s="1">
        <v>44169</v>
      </c>
      <c r="C4207" s="57" t="str">
        <f>IF(Ventas[[#This Row],[Fecha ]]="","",+TEXT(B4207,"mmmm"))</f>
        <v>diciembre</v>
      </c>
      <c r="D4207" s="57" t="str">
        <f>IFERROR(+VLOOKUP(Ventas[[#This Row],[Codigo de Producto]],Productos[#All],3,FALSE),"")</f>
        <v>Cerámica</v>
      </c>
      <c r="E4207" t="s">
        <v>892</v>
      </c>
      <c r="F4207" s="57" t="str">
        <f>IFERROR(+VLOOKUP(Ventas[[#This Row],[Codigo de Producto]],Productos[#All],4,FALSE),"")</f>
        <v>Babilonia Blanco</v>
      </c>
      <c r="G4207">
        <v>5</v>
      </c>
      <c r="H4207">
        <v>240</v>
      </c>
      <c r="I4207" s="57">
        <f>IF(Ventas[[#This Row],[Cantidad]]="","",+Ventas[[#This Row],[Cantidad]]*Ventas[[#This Row],[Precio]])</f>
        <v>1200</v>
      </c>
      <c r="J4207" s="57" t="str">
        <f>IFERROR(+VLOOKUP(Ventas[[#This Row],[Codigo de Producto]],Productos[#All],2,FALSE),"")</f>
        <v>Comasa</v>
      </c>
      <c r="K4207" s="57">
        <f ca="1">IFERROR(+VLOOKUP(Ventas[[#This Row],[Codigo de Producto]],Productos[#All],9,FALSE),"")</f>
        <v>216.82</v>
      </c>
      <c r="M4207" s="57">
        <f t="shared" ca="1" si="1285"/>
        <v>1084.0999999999999</v>
      </c>
      <c r="N4207" s="57">
        <f t="shared" ca="1" si="1287"/>
        <v>115.90000000000009</v>
      </c>
    </row>
    <row r="4208" spans="1:14" x14ac:dyDescent="0.25">
      <c r="A4208">
        <v>54</v>
      </c>
      <c r="B4208" s="1">
        <v>44169</v>
      </c>
      <c r="C4208" s="57" t="str">
        <f>IF(Ventas[[#This Row],[Fecha ]]="","",+TEXT(B4208,"mmmm"))</f>
        <v>diciembre</v>
      </c>
      <c r="D4208" s="57" t="str">
        <f>IFERROR(+VLOOKUP(Ventas[[#This Row],[Codigo de Producto]],Productos[#All],3,FALSE),"")</f>
        <v>Cerámica</v>
      </c>
      <c r="E4208" t="s">
        <v>638</v>
      </c>
      <c r="F4208" s="57" t="str">
        <f>IFERROR(+VLOOKUP(Ventas[[#This Row],[Codigo de Producto]],Productos[#All],4,FALSE),"")</f>
        <v>222 Blanco</v>
      </c>
      <c r="G4208">
        <v>1</v>
      </c>
      <c r="H4208">
        <v>240</v>
      </c>
      <c r="I4208" s="57">
        <f>IF(Ventas[[#This Row],[Cantidad]]="","",+Ventas[[#This Row],[Cantidad]]*Ventas[[#This Row],[Precio]])</f>
        <v>240</v>
      </c>
      <c r="J4208" s="57" t="str">
        <f>IFERROR(+VLOOKUP(Ventas[[#This Row],[Codigo de Producto]],Productos[#All],2,FALSE),"")</f>
        <v>Dispiasa</v>
      </c>
      <c r="K4208" s="57">
        <f>IFERROR(+VLOOKUP(Ventas[[#This Row],[Codigo de Producto]],Productos[#All],9,FALSE),"")</f>
        <v>207</v>
      </c>
      <c r="M4208" s="57">
        <f t="shared" si="1285"/>
        <v>207</v>
      </c>
      <c r="N4208" s="57">
        <f t="shared" si="1287"/>
        <v>33</v>
      </c>
    </row>
    <row r="4209" spans="1:14" x14ac:dyDescent="0.25">
      <c r="A4209">
        <v>55</v>
      </c>
      <c r="B4209" s="1">
        <v>44169</v>
      </c>
      <c r="C4209" s="57" t="str">
        <f>IF(Ventas[[#This Row],[Fecha ]]="","",+TEXT(B4209,"mmmm"))</f>
        <v>diciembre</v>
      </c>
      <c r="D4209" s="57" t="str">
        <f>IFERROR(+VLOOKUP(Ventas[[#This Row],[Codigo de Producto]],Productos[#All],3,FALSE),"")</f>
        <v>Otro</v>
      </c>
      <c r="E4209" t="s">
        <v>860</v>
      </c>
      <c r="F4209" s="57" t="str">
        <f>IFERROR(+VLOOKUP(Ventas[[#This Row],[Codigo de Producto]],Productos[#All],4,FALSE),"")</f>
        <v>Ácido Muriático</v>
      </c>
      <c r="G4209">
        <v>1</v>
      </c>
      <c r="H4209">
        <v>60</v>
      </c>
      <c r="I4209" s="57">
        <f>IF(Ventas[[#This Row],[Cantidad]]="","",+Ventas[[#This Row],[Cantidad]]*Ventas[[#This Row],[Precio]])</f>
        <v>60</v>
      </c>
      <c r="J4209" s="57" t="str">
        <f>IFERROR(+VLOOKUP(Ventas[[#This Row],[Codigo de Producto]],Productos[#All],2,FALSE),"")</f>
        <v>Rodriguez</v>
      </c>
      <c r="K4209" s="57">
        <f>IFERROR(+VLOOKUP(Ventas[[#This Row],[Codigo de Producto]],Productos[#All],9,FALSE),"")</f>
        <v>50.5</v>
      </c>
      <c r="M4209" s="57">
        <f t="shared" si="1285"/>
        <v>50.5</v>
      </c>
      <c r="N4209" s="57">
        <f t="shared" si="1287"/>
        <v>9.5</v>
      </c>
    </row>
    <row r="4210" spans="1:14" x14ac:dyDescent="0.25">
      <c r="A4210">
        <v>56</v>
      </c>
      <c r="B4210" s="1">
        <v>44169</v>
      </c>
      <c r="C4210" s="57" t="str">
        <f>IF(Ventas[[#This Row],[Fecha ]]="","",+TEXT(B4210,"mmmm"))</f>
        <v>diciembre</v>
      </c>
      <c r="D4210" s="57" t="str">
        <f>IFERROR(+VLOOKUP(Ventas[[#This Row],[Codigo de Producto]],Productos[#All],3,FALSE),"")</f>
        <v>Separadores</v>
      </c>
      <c r="E4210" t="s">
        <v>720</v>
      </c>
      <c r="F4210" s="57" t="str">
        <f>IFERROR(+VLOOKUP(Ventas[[#This Row],[Codigo de Producto]],Productos[#All],4,FALSE),"")</f>
        <v>Separadores de 3 mm</v>
      </c>
      <c r="G4210">
        <v>2</v>
      </c>
      <c r="H4210">
        <v>35</v>
      </c>
      <c r="I4210" s="57">
        <f>IF(Ventas[[#This Row],[Cantidad]]="","",+Ventas[[#This Row],[Cantidad]]*Ventas[[#This Row],[Precio]])</f>
        <v>70</v>
      </c>
      <c r="J4210" s="57" t="str">
        <f>IFERROR(+VLOOKUP(Ventas[[#This Row],[Codigo de Producto]],Productos[#All],2,FALSE),"")</f>
        <v>Silco</v>
      </c>
      <c r="K4210" s="57">
        <f>IFERROR(+VLOOKUP(Ventas[[#This Row],[Codigo de Producto]],Productos[#All],9,FALSE),"")</f>
        <v>26</v>
      </c>
      <c r="M4210" s="57">
        <f t="shared" si="1285"/>
        <v>52</v>
      </c>
      <c r="N4210" s="57">
        <f t="shared" si="1287"/>
        <v>18</v>
      </c>
    </row>
    <row r="4211" spans="1:14" x14ac:dyDescent="0.25">
      <c r="A4211">
        <v>57</v>
      </c>
      <c r="B4211" s="1">
        <v>44169</v>
      </c>
      <c r="C4211" s="57" t="str">
        <f>IF(Ventas[[#This Row],[Fecha ]]="","",+TEXT(B4211,"mmmm"))</f>
        <v>diciembre</v>
      </c>
      <c r="D4211" s="57" t="str">
        <f>IFERROR(+VLOOKUP(Ventas[[#This Row],[Codigo de Producto]],Productos[#All],3,FALSE),"")</f>
        <v>Azulejos</v>
      </c>
      <c r="E4211" t="s">
        <v>870</v>
      </c>
      <c r="F4211" s="57" t="str">
        <f>IFERROR(+VLOOKUP(Ventas[[#This Row],[Codigo de Producto]],Productos[#All],4,FALSE),"")</f>
        <v>Andes Plus Blanco</v>
      </c>
      <c r="G4211">
        <f>5/16</f>
        <v>0.3125</v>
      </c>
      <c r="H4211">
        <v>300</v>
      </c>
      <c r="I4211" s="57">
        <f>IF(Ventas[[#This Row],[Cantidad]]="","",+Ventas[[#This Row],[Cantidad]]*Ventas[[#This Row],[Precio]])</f>
        <v>93.75</v>
      </c>
      <c r="J4211" s="57" t="str">
        <f>IFERROR(+VLOOKUP(Ventas[[#This Row],[Codigo de Producto]],Productos[#All],2,FALSE),"")</f>
        <v>Comasa</v>
      </c>
      <c r="K4211" s="57">
        <f ca="1">IFERROR(+VLOOKUP(Ventas[[#This Row],[Codigo de Producto]],Productos[#All],9,FALSE),"")</f>
        <v>272</v>
      </c>
      <c r="M4211" s="57">
        <f t="shared" ca="1" si="1285"/>
        <v>85</v>
      </c>
      <c r="N4211" s="57">
        <f t="shared" ca="1" si="1287"/>
        <v>8.75</v>
      </c>
    </row>
    <row r="4212" spans="1:14" x14ac:dyDescent="0.25">
      <c r="A4212">
        <v>58</v>
      </c>
      <c r="B4212" s="1">
        <v>44169</v>
      </c>
      <c r="C4212" s="57" t="str">
        <f>IF(Ventas[[#This Row],[Fecha ]]="","",+TEXT(B4212,"mmmm"))</f>
        <v>diciembre</v>
      </c>
      <c r="D4212" s="57" t="str">
        <f>IFERROR(+VLOOKUP(Ventas[[#This Row],[Codigo de Producto]],Productos[#All],3,FALSE),"")</f>
        <v>Cerámica</v>
      </c>
      <c r="E4212" t="s">
        <v>703</v>
      </c>
      <c r="F4212" s="57" t="str">
        <f>IFERROR(+VLOOKUP(Ventas[[#This Row],[Codigo de Producto]],Productos[#All],4,FALSE),"")</f>
        <v>Nogal Oscuro</v>
      </c>
      <c r="G4212">
        <f>7/9</f>
        <v>0.77777777777777779</v>
      </c>
      <c r="H4212">
        <v>300</v>
      </c>
      <c r="I4212" s="57">
        <f>IF(Ventas[[#This Row],[Cantidad]]="","",+Ventas[[#This Row],[Cantidad]]*Ventas[[#This Row],[Precio]])</f>
        <v>233.33333333333334</v>
      </c>
      <c r="J4212" s="57" t="str">
        <f>IFERROR(+VLOOKUP(Ventas[[#This Row],[Codigo de Producto]],Productos[#All],2,FALSE),"")</f>
        <v>Dispiasa</v>
      </c>
      <c r="K4212" s="57">
        <f>IFERROR(+VLOOKUP(Ventas[[#This Row],[Codigo de Producto]],Productos[#All],9,FALSE),"")</f>
        <v>268</v>
      </c>
      <c r="M4212" s="57">
        <f t="shared" si="1285"/>
        <v>208.44444444444446</v>
      </c>
      <c r="N4212" s="57">
        <f t="shared" si="1287"/>
        <v>24.888888888888886</v>
      </c>
    </row>
    <row r="4213" spans="1:14" x14ac:dyDescent="0.25">
      <c r="A4213">
        <v>59</v>
      </c>
      <c r="B4213" s="1">
        <v>44169</v>
      </c>
      <c r="C4213" s="57" t="str">
        <f>IF(Ventas[[#This Row],[Fecha ]]="","",+TEXT(B4213,"mmmm"))</f>
        <v>diciembre</v>
      </c>
      <c r="D4213" s="57" t="str">
        <f>IFERROR(+VLOOKUP(Ventas[[#This Row],[Codigo de Producto]],Productos[#All],3,FALSE),"")</f>
        <v>Bond</v>
      </c>
      <c r="E4213" t="s">
        <v>704</v>
      </c>
      <c r="F4213" s="57" t="str">
        <f>IFERROR(+VLOOKUP(Ventas[[#This Row],[Codigo de Producto]],Productos[#All],4,FALSE),"")</f>
        <v>Drytec Bond Plus</v>
      </c>
      <c r="G4213">
        <v>1</v>
      </c>
      <c r="H4213">
        <v>155</v>
      </c>
      <c r="I4213" s="57">
        <f>IF(Ventas[[#This Row],[Cantidad]]="","",+Ventas[[#This Row],[Cantidad]]*Ventas[[#This Row],[Precio]])</f>
        <v>155</v>
      </c>
      <c r="J4213" s="57" t="str">
        <f>IFERROR(+VLOOKUP(Ventas[[#This Row],[Codigo de Producto]],Productos[#All],2,FALSE),"")</f>
        <v>Comasa</v>
      </c>
      <c r="K4213" s="57">
        <f>IFERROR(+VLOOKUP(Ventas[[#This Row],[Codigo de Producto]],Productos[#All],9,FALSE),"")</f>
        <v>127</v>
      </c>
      <c r="M4213" s="57">
        <f t="shared" si="1285"/>
        <v>127</v>
      </c>
      <c r="N4213" s="57">
        <f t="shared" si="1287"/>
        <v>28</v>
      </c>
    </row>
    <row r="4214" spans="1:14" x14ac:dyDescent="0.25">
      <c r="A4214">
        <v>60</v>
      </c>
      <c r="B4214" s="1">
        <v>44169</v>
      </c>
      <c r="C4214" s="57" t="str">
        <f>IF(Ventas[[#This Row],[Fecha ]]="","",+TEXT(B4214,"mmmm"))</f>
        <v>diciembre</v>
      </c>
      <c r="D4214" s="57" t="str">
        <f>IFERROR(+VLOOKUP(Ventas[[#This Row],[Codigo de Producto]],Productos[#All],3,FALSE),"")</f>
        <v>Fachaleta</v>
      </c>
      <c r="E4214" t="s">
        <v>666</v>
      </c>
      <c r="F4214" s="57" t="str">
        <f>IFERROR(+VLOOKUP(Ventas[[#This Row],[Codigo de Producto]],Productos[#All],4,FALSE),"")</f>
        <v>Alabastro Rodeno</v>
      </c>
      <c r="G4214">
        <v>1</v>
      </c>
      <c r="H4214">
        <v>420</v>
      </c>
      <c r="I4214" s="57">
        <f>IF(Ventas[[#This Row],[Cantidad]]="","",+Ventas[[#This Row],[Cantidad]]*Ventas[[#This Row],[Precio]])</f>
        <v>420</v>
      </c>
      <c r="J4214" s="57" t="str">
        <f>IFERROR(+VLOOKUP(Ventas[[#This Row],[Codigo de Producto]],Productos[#All],2,FALSE),"")</f>
        <v>Dispiasa</v>
      </c>
      <c r="K4214" s="57">
        <f>IFERROR(+VLOOKUP(Ventas[[#This Row],[Codigo de Producto]],Productos[#All],9,FALSE),"")</f>
        <v>332</v>
      </c>
      <c r="M4214" s="57">
        <f t="shared" si="1285"/>
        <v>332</v>
      </c>
      <c r="N4214" s="57">
        <f t="shared" si="1287"/>
        <v>88</v>
      </c>
    </row>
    <row r="4215" spans="1:14" x14ac:dyDescent="0.25">
      <c r="A4215">
        <v>61</v>
      </c>
      <c r="B4215" s="1">
        <v>44169</v>
      </c>
      <c r="C4215" s="57" t="str">
        <f>IF(Ventas[[#This Row],[Fecha ]]="","",+TEXT(B4215,"mmmm"))</f>
        <v>diciembre</v>
      </c>
      <c r="D4215" s="57" t="str">
        <f>IFERROR(+VLOOKUP(Ventas[[#This Row],[Codigo de Producto]],Productos[#All],3,FALSE),"")</f>
        <v>Cerámica</v>
      </c>
      <c r="E4215" t="s">
        <v>893</v>
      </c>
      <c r="F4215" s="57" t="str">
        <f>IFERROR(+VLOOKUP(Ventas[[#This Row],[Codigo de Producto]],Productos[#All],4,FALSE),"")</f>
        <v>Belén Marrón</v>
      </c>
      <c r="G4215">
        <v>14.44</v>
      </c>
      <c r="H4215">
        <v>295</v>
      </c>
      <c r="I4215" s="57">
        <f>IF(Ventas[[#This Row],[Cantidad]]="","",+Ventas[[#This Row],[Cantidad]]*Ventas[[#This Row],[Precio]])</f>
        <v>4259.8</v>
      </c>
      <c r="J4215" s="57" t="str">
        <f>IFERROR(+VLOOKUP(Ventas[[#This Row],[Codigo de Producto]],Productos[#All],2,FALSE),"")</f>
        <v>Dispiasa</v>
      </c>
      <c r="K4215" s="57">
        <f ca="1">IFERROR(+VLOOKUP(Ventas[[#This Row],[Codigo de Producto]],Productos[#All],9,FALSE),"")</f>
        <v>268</v>
      </c>
      <c r="M4215" s="57">
        <f t="shared" ca="1" si="1285"/>
        <v>3869.92</v>
      </c>
      <c r="N4215" s="57">
        <f t="shared" ca="1" si="1287"/>
        <v>389.88000000000011</v>
      </c>
    </row>
    <row r="4216" spans="1:14" x14ac:dyDescent="0.25">
      <c r="A4216">
        <v>62</v>
      </c>
      <c r="B4216" s="1">
        <v>44169</v>
      </c>
      <c r="C4216" s="57" t="str">
        <f>IF(Ventas[[#This Row],[Fecha ]]="","",+TEXT(B4216,"mmmm"))</f>
        <v>diciembre</v>
      </c>
      <c r="D4216" s="57" t="str">
        <f>IFERROR(+VLOOKUP(Ventas[[#This Row],[Codigo de Producto]],Productos[#All],3,FALSE),"")</f>
        <v>Plasterbond</v>
      </c>
      <c r="E4216" t="s">
        <v>713</v>
      </c>
      <c r="F4216" s="57" t="str">
        <f>IFERROR(+VLOOKUP(Ventas[[#This Row],[Codigo de Producto]],Productos[#All],4,FALSE),"")</f>
        <v>Plasterbond Klebe</v>
      </c>
      <c r="G4216">
        <v>3.2</v>
      </c>
      <c r="H4216">
        <v>100</v>
      </c>
      <c r="I4216" s="57">
        <f>IF(Ventas[[#This Row],[Cantidad]]="","",+Ventas[[#This Row],[Cantidad]]*Ventas[[#This Row],[Precio]])</f>
        <v>320</v>
      </c>
      <c r="J4216" s="57" t="str">
        <f>IFERROR(+VLOOKUP(Ventas[[#This Row],[Codigo de Producto]],Productos[#All],2,FALSE),"")</f>
        <v>Aginsa</v>
      </c>
      <c r="K4216" s="57">
        <f>IFERROR(+VLOOKUP(Ventas[[#This Row],[Codigo de Producto]],Productos[#All],9,FALSE),"")</f>
        <v>80</v>
      </c>
      <c r="M4216" s="57">
        <f t="shared" si="1285"/>
        <v>256</v>
      </c>
      <c r="N4216" s="57">
        <f t="shared" si="1287"/>
        <v>64</v>
      </c>
    </row>
    <row r="4217" spans="1:14" x14ac:dyDescent="0.25">
      <c r="A4217">
        <v>63</v>
      </c>
      <c r="B4217" s="1">
        <v>44169</v>
      </c>
      <c r="C4217" s="57" t="str">
        <f>IF(Ventas[[#This Row],[Fecha ]]="","",+TEXT(B4217,"mmmm"))</f>
        <v>diciembre</v>
      </c>
      <c r="D4217" s="57" t="str">
        <f>IFERROR(+VLOOKUP(Ventas[[#This Row],[Codigo de Producto]],Productos[#All],3,FALSE),"")</f>
        <v>Bond</v>
      </c>
      <c r="E4217" t="s">
        <v>704</v>
      </c>
      <c r="F4217" s="57" t="str">
        <f>IFERROR(+VLOOKUP(Ventas[[#This Row],[Codigo de Producto]],Productos[#All],4,FALSE),"")</f>
        <v>Drytec Bond Plus</v>
      </c>
      <c r="G4217">
        <v>6</v>
      </c>
      <c r="H4217">
        <v>155</v>
      </c>
      <c r="I4217" s="57">
        <f>IF(Ventas[[#This Row],[Cantidad]]="","",+Ventas[[#This Row],[Cantidad]]*Ventas[[#This Row],[Precio]])</f>
        <v>930</v>
      </c>
      <c r="J4217" s="57" t="str">
        <f>IFERROR(+VLOOKUP(Ventas[[#This Row],[Codigo de Producto]],Productos[#All],2,FALSE),"")</f>
        <v>Comasa</v>
      </c>
      <c r="K4217" s="57">
        <f>IFERROR(+VLOOKUP(Ventas[[#This Row],[Codigo de Producto]],Productos[#All],9,FALSE),"")</f>
        <v>127</v>
      </c>
      <c r="M4217" s="57">
        <f t="shared" si="1285"/>
        <v>762</v>
      </c>
      <c r="N4217" s="57">
        <f t="shared" si="1287"/>
        <v>168</v>
      </c>
    </row>
    <row r="4218" spans="1:14" x14ac:dyDescent="0.25">
      <c r="A4218">
        <v>64</v>
      </c>
      <c r="B4218" s="1">
        <v>44169</v>
      </c>
      <c r="C4218" s="57" t="str">
        <f>IF(Ventas[[#This Row],[Fecha ]]="","",+TEXT(B4218,"mmmm"))</f>
        <v>diciembre</v>
      </c>
      <c r="D4218" s="57" t="str">
        <f>IFERROR(+VLOOKUP(Ventas[[#This Row],[Codigo de Producto]],Productos[#All],3,FALSE),"")</f>
        <v>Fachaleta</v>
      </c>
      <c r="E4218" t="s">
        <v>846</v>
      </c>
      <c r="F4218" s="57" t="str">
        <f>IFERROR(+VLOOKUP(Ventas[[#This Row],[Codigo de Producto]],Productos[#All],4,FALSE),"")</f>
        <v>Creta Marrón</v>
      </c>
      <c r="G4218">
        <v>10.83</v>
      </c>
      <c r="H4218">
        <v>400</v>
      </c>
      <c r="I4218" s="57">
        <f>IF(Ventas[[#This Row],[Cantidad]]="","",+Ventas[[#This Row],[Cantidad]]*Ventas[[#This Row],[Precio]])</f>
        <v>4332</v>
      </c>
      <c r="J4218" s="57" t="str">
        <f>IFERROR(+VLOOKUP(Ventas[[#This Row],[Codigo de Producto]],Productos[#All],2,FALSE),"")</f>
        <v>Dispiasa</v>
      </c>
      <c r="K4218" s="57">
        <f>IFERROR(+VLOOKUP(Ventas[[#This Row],[Codigo de Producto]],Productos[#All],9,FALSE),"")</f>
        <v>335</v>
      </c>
      <c r="M4218" s="57">
        <f t="shared" si="1285"/>
        <v>3628.05</v>
      </c>
      <c r="N4218" s="57">
        <f t="shared" si="1287"/>
        <v>703.94999999999982</v>
      </c>
    </row>
    <row r="4219" spans="1:14" x14ac:dyDescent="0.25">
      <c r="A4219">
        <v>65</v>
      </c>
      <c r="B4219" s="1">
        <v>44169</v>
      </c>
      <c r="C4219" s="57" t="str">
        <f>IF(Ventas[[#This Row],[Fecha ]]="","",+TEXT(B4219,"mmmm"))</f>
        <v>diciembre</v>
      </c>
      <c r="D4219" s="57" t="str">
        <f>IFERROR(+VLOOKUP(Ventas[[#This Row],[Codigo de Producto]],Productos[#All],3,FALSE),"")</f>
        <v>Cerámica</v>
      </c>
      <c r="E4219" t="s">
        <v>645</v>
      </c>
      <c r="F4219" s="57" t="str">
        <f>IFERROR(+VLOOKUP(Ventas[[#This Row],[Codigo de Producto]],Productos[#All],4,FALSE),"")</f>
        <v>822 Roble</v>
      </c>
      <c r="G4219">
        <v>2</v>
      </c>
      <c r="H4219">
        <v>240</v>
      </c>
      <c r="I4219" s="57">
        <f>IF(Ventas[[#This Row],[Cantidad]]="","",+Ventas[[#This Row],[Cantidad]]*Ventas[[#This Row],[Precio]])</f>
        <v>480</v>
      </c>
      <c r="J4219" s="57" t="str">
        <f>IFERROR(+VLOOKUP(Ventas[[#This Row],[Codigo de Producto]],Productos[#All],2,FALSE),"")</f>
        <v>Dispiasa</v>
      </c>
      <c r="K4219" s="57">
        <f>IFERROR(+VLOOKUP(Ventas[[#This Row],[Codigo de Producto]],Productos[#All],9,FALSE),"")</f>
        <v>207</v>
      </c>
      <c r="M4219" s="57">
        <f t="shared" ref="M4219:M4245" si="1288">+IF(K4219=0,(""),(K4219*G4219))</f>
        <v>414</v>
      </c>
      <c r="N4219" s="57">
        <f t="shared" si="1287"/>
        <v>66</v>
      </c>
    </row>
    <row r="4220" spans="1:14" x14ac:dyDescent="0.25">
      <c r="A4220">
        <v>66</v>
      </c>
      <c r="B4220" s="1">
        <v>44169</v>
      </c>
      <c r="C4220" s="57" t="str">
        <f>IF(Ventas[[#This Row],[Fecha ]]="","",+TEXT(B4220,"mmmm"))</f>
        <v>diciembre</v>
      </c>
      <c r="D4220" s="57" t="str">
        <f>IFERROR(+VLOOKUP(Ventas[[#This Row],[Codigo de Producto]],Productos[#All],3,FALSE),"")</f>
        <v>Bond</v>
      </c>
      <c r="E4220" t="s">
        <v>704</v>
      </c>
      <c r="F4220" s="57" t="str">
        <f>IFERROR(+VLOOKUP(Ventas[[#This Row],[Codigo de Producto]],Productos[#All],4,FALSE),"")</f>
        <v>Drytec Bond Plus</v>
      </c>
      <c r="G4220">
        <v>5</v>
      </c>
      <c r="H4220">
        <v>155</v>
      </c>
      <c r="I4220" s="57">
        <f>IF(Ventas[[#This Row],[Cantidad]]="","",+Ventas[[#This Row],[Cantidad]]*Ventas[[#This Row],[Precio]])</f>
        <v>775</v>
      </c>
      <c r="J4220" s="57" t="str">
        <f>IFERROR(+VLOOKUP(Ventas[[#This Row],[Codigo de Producto]],Productos[#All],2,FALSE),"")</f>
        <v>Comasa</v>
      </c>
      <c r="K4220" s="57">
        <f>IFERROR(+VLOOKUP(Ventas[[#This Row],[Codigo de Producto]],Productos[#All],9,FALSE),"")</f>
        <v>127</v>
      </c>
      <c r="M4220" s="57">
        <f t="shared" si="1288"/>
        <v>635</v>
      </c>
      <c r="N4220" s="57">
        <f t="shared" ref="N4220:N4245" si="1289">+IF(K4220=0,(""),(I4220-M4220))</f>
        <v>140</v>
      </c>
    </row>
    <row r="4221" spans="1:14" x14ac:dyDescent="0.25">
      <c r="A4221">
        <v>67</v>
      </c>
      <c r="B4221" s="1">
        <v>44169</v>
      </c>
      <c r="C4221" s="57" t="str">
        <f>IF(Ventas[[#This Row],[Fecha ]]="","",+TEXT(B4221,"mmmm"))</f>
        <v>diciembre</v>
      </c>
      <c r="D4221" s="57" t="str">
        <f>IFERROR(+VLOOKUP(Ventas[[#This Row],[Codigo de Producto]],Productos[#All],3,FALSE),"")</f>
        <v>Separadores</v>
      </c>
      <c r="E4221" t="s">
        <v>720</v>
      </c>
      <c r="F4221" s="57" t="str">
        <f>IFERROR(+VLOOKUP(Ventas[[#This Row],[Codigo de Producto]],Productos[#All],4,FALSE),"")</f>
        <v>Separadores de 3 mm</v>
      </c>
      <c r="G4221">
        <v>1</v>
      </c>
      <c r="H4221">
        <v>35</v>
      </c>
      <c r="I4221" s="57">
        <f>IF(Ventas[[#This Row],[Cantidad]]="","",+Ventas[[#This Row],[Cantidad]]*Ventas[[#This Row],[Precio]])</f>
        <v>35</v>
      </c>
      <c r="J4221" s="57" t="str">
        <f>IFERROR(+VLOOKUP(Ventas[[#This Row],[Codigo de Producto]],Productos[#All],2,FALSE),"")</f>
        <v>Silco</v>
      </c>
      <c r="K4221" s="57">
        <f>IFERROR(+VLOOKUP(Ventas[[#This Row],[Codigo de Producto]],Productos[#All],9,FALSE),"")</f>
        <v>26</v>
      </c>
      <c r="M4221" s="57">
        <f t="shared" si="1288"/>
        <v>26</v>
      </c>
      <c r="N4221" s="57">
        <f t="shared" si="1289"/>
        <v>9</v>
      </c>
    </row>
    <row r="4222" spans="1:14" x14ac:dyDescent="0.25">
      <c r="A4222">
        <v>68</v>
      </c>
      <c r="B4222" s="1">
        <v>44169</v>
      </c>
      <c r="C4222" s="57" t="str">
        <f>IF(Ventas[[#This Row],[Fecha ]]="","",+TEXT(B4222,"mmmm"))</f>
        <v>diciembre</v>
      </c>
      <c r="D4222" s="57" t="str">
        <f>IFERROR(+VLOOKUP(Ventas[[#This Row],[Codigo de Producto]],Productos[#All],3,FALSE),"")</f>
        <v>Azulejos</v>
      </c>
      <c r="E4222" t="s">
        <v>870</v>
      </c>
      <c r="F4222" s="57" t="str">
        <f>IFERROR(+VLOOKUP(Ventas[[#This Row],[Codigo de Producto]],Productos[#All],4,FALSE),"")</f>
        <v>Andes Plus Blanco</v>
      </c>
      <c r="G4222">
        <v>3</v>
      </c>
      <c r="H4222">
        <v>300</v>
      </c>
      <c r="I4222" s="57">
        <f>IF(Ventas[[#This Row],[Cantidad]]="","",+Ventas[[#This Row],[Cantidad]]*Ventas[[#This Row],[Precio]])</f>
        <v>900</v>
      </c>
      <c r="J4222" s="57" t="str">
        <f>IFERROR(+VLOOKUP(Ventas[[#This Row],[Codigo de Producto]],Productos[#All],2,FALSE),"")</f>
        <v>Comasa</v>
      </c>
      <c r="K4222" s="57">
        <f ca="1">IFERROR(+VLOOKUP(Ventas[[#This Row],[Codigo de Producto]],Productos[#All],9,FALSE),"")</f>
        <v>272</v>
      </c>
      <c r="M4222" s="57">
        <f t="shared" ca="1" si="1288"/>
        <v>816</v>
      </c>
      <c r="N4222" s="57">
        <f t="shared" ca="1" si="1289"/>
        <v>84</v>
      </c>
    </row>
    <row r="4223" spans="1:14" x14ac:dyDescent="0.25">
      <c r="A4223">
        <v>69</v>
      </c>
      <c r="B4223" s="1">
        <v>44169</v>
      </c>
      <c r="C4223" s="57" t="str">
        <f>IF(Ventas[[#This Row],[Fecha ]]="","",+TEXT(B4223,"mmmm"))</f>
        <v>diciembre</v>
      </c>
      <c r="D4223" s="57" t="str">
        <f>IFERROR(+VLOOKUP(Ventas[[#This Row],[Codigo de Producto]],Productos[#All],3,FALSE),"")</f>
        <v>Porcelana</v>
      </c>
      <c r="E4223" t="s">
        <v>708</v>
      </c>
      <c r="F4223" s="57" t="str">
        <f>IFERROR(+VLOOKUP(Ventas[[#This Row],[Codigo de Producto]],Productos[#All],4,FALSE),"")</f>
        <v xml:space="preserve">Porcelana Maya </v>
      </c>
      <c r="G4223">
        <v>1</v>
      </c>
      <c r="H4223">
        <v>60</v>
      </c>
      <c r="I4223" s="57">
        <f>IF(Ventas[[#This Row],[Cantidad]]="","",+Ventas[[#This Row],[Cantidad]]*Ventas[[#This Row],[Precio]])</f>
        <v>60</v>
      </c>
      <c r="J4223" s="57" t="str">
        <f>IFERROR(+VLOOKUP(Ventas[[#This Row],[Codigo de Producto]],Productos[#All],2,FALSE),"")</f>
        <v>Martinez</v>
      </c>
      <c r="K4223" s="57">
        <f>IFERROR(+VLOOKUP(Ventas[[#This Row],[Codigo de Producto]],Productos[#All],9,FALSE),"")</f>
        <v>33.333333333333336</v>
      </c>
      <c r="M4223" s="57">
        <f t="shared" si="1288"/>
        <v>33.333333333333336</v>
      </c>
      <c r="N4223" s="57">
        <f t="shared" si="1289"/>
        <v>26.666666666666664</v>
      </c>
    </row>
    <row r="4224" spans="1:14" x14ac:dyDescent="0.25">
      <c r="A4224">
        <v>70</v>
      </c>
      <c r="B4224" s="1">
        <v>44169</v>
      </c>
      <c r="C4224" s="57" t="str">
        <f>IF(Ventas[[#This Row],[Fecha ]]="","",+TEXT(B4224,"mmmm"))</f>
        <v>diciembre</v>
      </c>
      <c r="D4224" s="57" t="str">
        <f>IFERROR(+VLOOKUP(Ventas[[#This Row],[Codigo de Producto]],Productos[#All],3,FALSE),"")</f>
        <v>Bond</v>
      </c>
      <c r="E4224" t="s">
        <v>704</v>
      </c>
      <c r="F4224" s="57" t="str">
        <f>IFERROR(+VLOOKUP(Ventas[[#This Row],[Codigo de Producto]],Productos[#All],4,FALSE),"")</f>
        <v>Drytec Bond Plus</v>
      </c>
      <c r="G4224">
        <v>1</v>
      </c>
      <c r="H4224">
        <v>155</v>
      </c>
      <c r="I4224" s="57">
        <f>IF(Ventas[[#This Row],[Cantidad]]="","",+Ventas[[#This Row],[Cantidad]]*Ventas[[#This Row],[Precio]])</f>
        <v>155</v>
      </c>
      <c r="J4224" s="57" t="str">
        <f>IFERROR(+VLOOKUP(Ventas[[#This Row],[Codigo de Producto]],Productos[#All],2,FALSE),"")</f>
        <v>Comasa</v>
      </c>
      <c r="K4224" s="57">
        <f>IFERROR(+VLOOKUP(Ventas[[#This Row],[Codigo de Producto]],Productos[#All],9,FALSE),"")</f>
        <v>127</v>
      </c>
      <c r="M4224" s="57">
        <f t="shared" si="1288"/>
        <v>127</v>
      </c>
      <c r="N4224" s="57">
        <f t="shared" si="1289"/>
        <v>28</v>
      </c>
    </row>
    <row r="4225" spans="1:14" x14ac:dyDescent="0.25">
      <c r="A4225">
        <v>71</v>
      </c>
      <c r="B4225" s="1">
        <v>44170</v>
      </c>
      <c r="C4225" s="57" t="str">
        <f>IF(Ventas[[#This Row],[Fecha ]]="","",+TEXT(B4225,"mmmm"))</f>
        <v>diciembre</v>
      </c>
      <c r="D4225" s="57" t="str">
        <f>IFERROR(+VLOOKUP(Ventas[[#This Row],[Codigo de Producto]],Productos[#All],3,FALSE),"")</f>
        <v>Fachaleta</v>
      </c>
      <c r="E4225" t="s">
        <v>846</v>
      </c>
      <c r="F4225" s="57" t="str">
        <f>IFERROR(+VLOOKUP(Ventas[[#This Row],[Codigo de Producto]],Productos[#All],4,FALSE),"")</f>
        <v>Creta Marrón</v>
      </c>
      <c r="G4225">
        <v>15.16</v>
      </c>
      <c r="H4225">
        <v>400</v>
      </c>
      <c r="I4225" s="57">
        <f>IF(Ventas[[#This Row],[Cantidad]]="","",+Ventas[[#This Row],[Cantidad]]*Ventas[[#This Row],[Precio]])</f>
        <v>6064</v>
      </c>
      <c r="J4225" s="57" t="str">
        <f>IFERROR(+VLOOKUP(Ventas[[#This Row],[Codigo de Producto]],Productos[#All],2,FALSE),"")</f>
        <v>Dispiasa</v>
      </c>
      <c r="K4225" s="57">
        <f>IFERROR(+VLOOKUP(Ventas[[#This Row],[Codigo de Producto]],Productos[#All],9,FALSE),"")</f>
        <v>335</v>
      </c>
      <c r="M4225" s="57">
        <f t="shared" si="1288"/>
        <v>5078.6000000000004</v>
      </c>
      <c r="N4225" s="57">
        <f t="shared" si="1289"/>
        <v>985.39999999999964</v>
      </c>
    </row>
    <row r="4226" spans="1:14" x14ac:dyDescent="0.25">
      <c r="A4226">
        <v>72</v>
      </c>
      <c r="B4226" s="1">
        <v>44170</v>
      </c>
      <c r="C4226" s="57" t="str">
        <f>IF(Ventas[[#This Row],[Fecha ]]="","",+TEXT(B4226,"mmmm"))</f>
        <v>diciembre</v>
      </c>
      <c r="D4226" s="57" t="str">
        <f>IFERROR(+VLOOKUP(Ventas[[#This Row],[Codigo de Producto]],Productos[#All],3,FALSE),"")</f>
        <v>Azulejos</v>
      </c>
      <c r="E4226" t="s">
        <v>899</v>
      </c>
      <c r="F4226" s="57" t="str">
        <f>IFERROR(+VLOOKUP(Ventas[[#This Row],[Codigo de Producto]],Productos[#All],4,FALSE),"")</f>
        <v>722 Azul liso</v>
      </c>
      <c r="G4226">
        <v>3</v>
      </c>
      <c r="H4226">
        <v>270</v>
      </c>
      <c r="I4226" s="57">
        <f>IF(Ventas[[#This Row],[Cantidad]]="","",+Ventas[[#This Row],[Cantidad]]*Ventas[[#This Row],[Precio]])</f>
        <v>810</v>
      </c>
      <c r="J4226" s="57" t="str">
        <f>IFERROR(+VLOOKUP(Ventas[[#This Row],[Codigo de Producto]],Productos[#All],2,FALSE),"")</f>
        <v>Dispiasa</v>
      </c>
      <c r="K4226" s="57">
        <f ca="1">IFERROR(+VLOOKUP(Ventas[[#This Row],[Codigo de Producto]],Productos[#All],9,FALSE),"")</f>
        <v>207</v>
      </c>
      <c r="M4226" s="57">
        <f t="shared" ca="1" si="1288"/>
        <v>621</v>
      </c>
      <c r="N4226" s="57">
        <f t="shared" ca="1" si="1289"/>
        <v>189</v>
      </c>
    </row>
    <row r="4227" spans="1:14" x14ac:dyDescent="0.25">
      <c r="A4227">
        <v>73</v>
      </c>
      <c r="B4227" s="1">
        <v>44170</v>
      </c>
      <c r="C4227" s="57" t="str">
        <f>IF(Ventas[[#This Row],[Fecha ]]="","",+TEXT(B4227,"mmmm"))</f>
        <v>diciembre</v>
      </c>
      <c r="D4227" s="57" t="str">
        <f>IFERROR(+VLOOKUP(Ventas[[#This Row],[Codigo de Producto]],Productos[#All],3,FALSE),"")</f>
        <v>Bond</v>
      </c>
      <c r="E4227" t="s">
        <v>704</v>
      </c>
      <c r="F4227" s="57" t="str">
        <f>IFERROR(+VLOOKUP(Ventas[[#This Row],[Codigo de Producto]],Productos[#All],4,FALSE),"")</f>
        <v>Drytec Bond Plus</v>
      </c>
      <c r="G4227">
        <v>1</v>
      </c>
      <c r="H4227">
        <v>155</v>
      </c>
      <c r="I4227" s="57">
        <f>IF(Ventas[[#This Row],[Cantidad]]="","",+Ventas[[#This Row],[Cantidad]]*Ventas[[#This Row],[Precio]])</f>
        <v>155</v>
      </c>
      <c r="J4227" s="57" t="str">
        <f>IFERROR(+VLOOKUP(Ventas[[#This Row],[Codigo de Producto]],Productos[#All],2,FALSE),"")</f>
        <v>Comasa</v>
      </c>
      <c r="K4227" s="57">
        <f>IFERROR(+VLOOKUP(Ventas[[#This Row],[Codigo de Producto]],Productos[#All],9,FALSE),"")</f>
        <v>127</v>
      </c>
      <c r="M4227" s="57">
        <f t="shared" si="1288"/>
        <v>127</v>
      </c>
      <c r="N4227" s="57">
        <f t="shared" si="1289"/>
        <v>28</v>
      </c>
    </row>
    <row r="4228" spans="1:14" x14ac:dyDescent="0.25">
      <c r="A4228">
        <v>74</v>
      </c>
      <c r="B4228" s="1">
        <v>44170</v>
      </c>
      <c r="C4228" s="57" t="str">
        <f>IF(Ventas[[#This Row],[Fecha ]]="","",+TEXT(B4228,"mmmm"))</f>
        <v>diciembre</v>
      </c>
      <c r="D4228" s="57" t="str">
        <f>IFERROR(+VLOOKUP(Ventas[[#This Row],[Codigo de Producto]],Productos[#All],3,FALSE),"")</f>
        <v>Baño</v>
      </c>
      <c r="E4228" t="s">
        <v>733</v>
      </c>
      <c r="F4228" s="57" t="str">
        <f>IFERROR(+VLOOKUP(Ventas[[#This Row],[Codigo de Producto]],Productos[#All],4,FALSE),"")</f>
        <v>Tubo de Cortina</v>
      </c>
      <c r="G4228">
        <v>1</v>
      </c>
      <c r="H4228">
        <v>180</v>
      </c>
      <c r="I4228" s="57">
        <f>IF(Ventas[[#This Row],[Cantidad]]="","",+Ventas[[#This Row],[Cantidad]]*Ventas[[#This Row],[Precio]])</f>
        <v>180</v>
      </c>
      <c r="J4228" s="57" t="str">
        <f>IFERROR(+VLOOKUP(Ventas[[#This Row],[Codigo de Producto]],Productos[#All],2,FALSE),"")</f>
        <v>Invercopa</v>
      </c>
      <c r="K4228" s="57">
        <f>IFERROR(+VLOOKUP(Ventas[[#This Row],[Codigo de Producto]],Productos[#All],9,FALSE),"")</f>
        <v>138</v>
      </c>
      <c r="M4228" s="57">
        <f t="shared" si="1288"/>
        <v>138</v>
      </c>
      <c r="N4228" s="57">
        <f t="shared" si="1289"/>
        <v>42</v>
      </c>
    </row>
    <row r="4229" spans="1:14" x14ac:dyDescent="0.25">
      <c r="A4229">
        <v>75</v>
      </c>
      <c r="B4229" s="1">
        <v>44170</v>
      </c>
      <c r="C4229" s="57" t="str">
        <f>IF(Ventas[[#This Row],[Fecha ]]="","",+TEXT(B4229,"mmmm"))</f>
        <v>diciembre</v>
      </c>
      <c r="D4229" s="57" t="str">
        <f>IFERROR(+VLOOKUP(Ventas[[#This Row],[Codigo de Producto]],Productos[#All],3,FALSE),"")</f>
        <v>Cerámica</v>
      </c>
      <c r="E4229" t="s">
        <v>901</v>
      </c>
      <c r="F4229" s="57" t="str">
        <f>IFERROR(+VLOOKUP(Ventas[[#This Row],[Codigo de Producto]],Productos[#All],4,FALSE),"")</f>
        <v>722 Azul</v>
      </c>
      <c r="G4229">
        <v>11</v>
      </c>
      <c r="H4229">
        <v>240</v>
      </c>
      <c r="I4229" s="57">
        <f>IF(Ventas[[#This Row],[Cantidad]]="","",+Ventas[[#This Row],[Cantidad]]*Ventas[[#This Row],[Precio]])</f>
        <v>2640</v>
      </c>
      <c r="J4229" s="57" t="str">
        <f>IFERROR(+VLOOKUP(Ventas[[#This Row],[Codigo de Producto]],Productos[#All],2,FALSE),"")</f>
        <v>Dispiasa</v>
      </c>
      <c r="K4229" s="57">
        <f ca="1">IFERROR(+VLOOKUP(Ventas[[#This Row],[Codigo de Producto]],Productos[#All],9,FALSE),"")</f>
        <v>207</v>
      </c>
      <c r="M4229" s="57">
        <f t="shared" ca="1" si="1288"/>
        <v>2277</v>
      </c>
      <c r="N4229" s="57">
        <f t="shared" ca="1" si="1289"/>
        <v>363</v>
      </c>
    </row>
    <row r="4230" spans="1:14" x14ac:dyDescent="0.25">
      <c r="A4230">
        <v>76</v>
      </c>
      <c r="B4230" s="1">
        <v>44170</v>
      </c>
      <c r="C4230" s="57" t="str">
        <f>IF(Ventas[[#This Row],[Fecha ]]="","",+TEXT(B4230,"mmmm"))</f>
        <v>diciembre</v>
      </c>
      <c r="D4230" s="57" t="str">
        <f>IFERROR(+VLOOKUP(Ventas[[#This Row],[Codigo de Producto]],Productos[#All],3,FALSE),"")</f>
        <v>Repello</v>
      </c>
      <c r="E4230" t="s">
        <v>728</v>
      </c>
      <c r="F4230" s="57" t="str">
        <f>IFERROR(+VLOOKUP(Ventas[[#This Row],[Codigo de Producto]],Productos[#All],4,FALSE),"")</f>
        <v>Repello Fino Drytec</v>
      </c>
      <c r="G4230">
        <v>1</v>
      </c>
      <c r="H4230">
        <v>250</v>
      </c>
      <c r="I4230" s="57">
        <f>IF(Ventas[[#This Row],[Cantidad]]="","",+Ventas[[#This Row],[Cantidad]]*Ventas[[#This Row],[Precio]])</f>
        <v>250</v>
      </c>
      <c r="J4230" s="57" t="str">
        <f>IFERROR(+VLOOKUP(Ventas[[#This Row],[Codigo de Producto]],Productos[#All],2,FALSE),"")</f>
        <v>Comasa</v>
      </c>
      <c r="K4230" s="57">
        <f ca="1">IFERROR(+VLOOKUP(Ventas[[#This Row],[Codigo de Producto]],Productos[#All],9,FALSE),"")</f>
        <v>236</v>
      </c>
      <c r="M4230" s="57">
        <f t="shared" ca="1" si="1288"/>
        <v>236</v>
      </c>
      <c r="N4230" s="57">
        <f t="shared" ca="1" si="1289"/>
        <v>14</v>
      </c>
    </row>
    <row r="4231" spans="1:14" x14ac:dyDescent="0.25">
      <c r="A4231">
        <v>77</v>
      </c>
      <c r="B4231" s="1">
        <v>44170</v>
      </c>
      <c r="C4231" s="57" t="str">
        <f>IF(Ventas[[#This Row],[Fecha ]]="","",+TEXT(B4231,"mmmm"))</f>
        <v>diciembre</v>
      </c>
      <c r="D4231" s="57" t="str">
        <f>IFERROR(+VLOOKUP(Ventas[[#This Row],[Codigo de Producto]],Productos[#All],3,FALSE),"")</f>
        <v>Plasterbond</v>
      </c>
      <c r="E4231" t="s">
        <v>713</v>
      </c>
      <c r="F4231" s="57" t="str">
        <f>IFERROR(+VLOOKUP(Ventas[[#This Row],[Codigo de Producto]],Productos[#All],4,FALSE),"")</f>
        <v>Plasterbond Klebe</v>
      </c>
      <c r="G4231">
        <v>1</v>
      </c>
      <c r="H4231">
        <v>100</v>
      </c>
      <c r="I4231" s="57">
        <f>IF(Ventas[[#This Row],[Cantidad]]="","",+Ventas[[#This Row],[Cantidad]]*Ventas[[#This Row],[Precio]])</f>
        <v>100</v>
      </c>
      <c r="J4231" s="57" t="str">
        <f>IFERROR(+VLOOKUP(Ventas[[#This Row],[Codigo de Producto]],Productos[#All],2,FALSE),"")</f>
        <v>Aginsa</v>
      </c>
      <c r="K4231" s="57">
        <f>IFERROR(+VLOOKUP(Ventas[[#This Row],[Codigo de Producto]],Productos[#All],9,FALSE),"")</f>
        <v>80</v>
      </c>
      <c r="M4231" s="57">
        <f t="shared" si="1288"/>
        <v>80</v>
      </c>
      <c r="N4231" s="57">
        <f t="shared" si="1289"/>
        <v>20</v>
      </c>
    </row>
    <row r="4232" spans="1:14" x14ac:dyDescent="0.25">
      <c r="A4232">
        <v>78</v>
      </c>
      <c r="B4232" s="1">
        <v>44170</v>
      </c>
      <c r="C4232" s="57" t="str">
        <f>IF(Ventas[[#This Row],[Fecha ]]="","",+TEXT(B4232,"mmmm"))</f>
        <v>diciembre</v>
      </c>
      <c r="D4232" s="57" t="str">
        <f>IFERROR(+VLOOKUP(Ventas[[#This Row],[Codigo de Producto]],Productos[#All],3,FALSE),"")</f>
        <v>Porcelana</v>
      </c>
      <c r="E4232" t="s">
        <v>708</v>
      </c>
      <c r="F4232" s="57" t="str">
        <f>IFERROR(+VLOOKUP(Ventas[[#This Row],[Codigo de Producto]],Productos[#All],4,FALSE),"")</f>
        <v xml:space="preserve">Porcelana Maya </v>
      </c>
      <c r="G4232">
        <v>1</v>
      </c>
      <c r="H4232">
        <v>60</v>
      </c>
      <c r="I4232" s="57">
        <f>IF(Ventas[[#This Row],[Cantidad]]="","",+Ventas[[#This Row],[Cantidad]]*Ventas[[#This Row],[Precio]])</f>
        <v>60</v>
      </c>
      <c r="J4232" s="57" t="str">
        <f>IFERROR(+VLOOKUP(Ventas[[#This Row],[Codigo de Producto]],Productos[#All],2,FALSE),"")</f>
        <v>Martinez</v>
      </c>
      <c r="K4232" s="57">
        <f>IFERROR(+VLOOKUP(Ventas[[#This Row],[Codigo de Producto]],Productos[#All],9,FALSE),"")</f>
        <v>33.333333333333336</v>
      </c>
      <c r="M4232" s="57">
        <f t="shared" si="1288"/>
        <v>33.333333333333336</v>
      </c>
      <c r="N4232" s="57">
        <f t="shared" si="1289"/>
        <v>26.666666666666664</v>
      </c>
    </row>
    <row r="4233" spans="1:14" x14ac:dyDescent="0.25">
      <c r="A4233">
        <v>79</v>
      </c>
      <c r="B4233" s="1">
        <v>44170</v>
      </c>
      <c r="C4233" s="57" t="str">
        <f>IF(Ventas[[#This Row],[Fecha ]]="","",+TEXT(B4233,"mmmm"))</f>
        <v>diciembre</v>
      </c>
      <c r="D4233" s="57" t="str">
        <f>IFERROR(+VLOOKUP(Ventas[[#This Row],[Codigo de Producto]],Productos[#All],3,FALSE),"")</f>
        <v>Azulejos</v>
      </c>
      <c r="E4233" t="s">
        <v>870</v>
      </c>
      <c r="F4233" s="57" t="str">
        <f>IFERROR(+VLOOKUP(Ventas[[#This Row],[Codigo de Producto]],Productos[#All],4,FALSE),"")</f>
        <v>Andes Plus Blanco</v>
      </c>
      <c r="G4233">
        <v>0.5</v>
      </c>
      <c r="H4233">
        <v>300</v>
      </c>
      <c r="I4233" s="57">
        <f>IF(Ventas[[#This Row],[Cantidad]]="","",+Ventas[[#This Row],[Cantidad]]*Ventas[[#This Row],[Precio]])</f>
        <v>150</v>
      </c>
      <c r="J4233" s="57" t="str">
        <f>IFERROR(+VLOOKUP(Ventas[[#This Row],[Codigo de Producto]],Productos[#All],2,FALSE),"")</f>
        <v>Comasa</v>
      </c>
      <c r="K4233" s="57">
        <f ca="1">IFERROR(+VLOOKUP(Ventas[[#This Row],[Codigo de Producto]],Productos[#All],9,FALSE),"")</f>
        <v>272</v>
      </c>
      <c r="M4233" s="57">
        <f t="shared" ca="1" si="1288"/>
        <v>136</v>
      </c>
      <c r="N4233" s="57">
        <f t="shared" ca="1" si="1289"/>
        <v>14</v>
      </c>
    </row>
    <row r="4234" spans="1:14" x14ac:dyDescent="0.25">
      <c r="A4234">
        <v>80</v>
      </c>
      <c r="B4234" s="1">
        <v>44170</v>
      </c>
      <c r="C4234" s="57" t="str">
        <f>IF(Ventas[[#This Row],[Fecha ]]="","",+TEXT(B4234,"mmmm"))</f>
        <v>diciembre</v>
      </c>
      <c r="D4234" s="57" t="str">
        <f>IFERROR(+VLOOKUP(Ventas[[#This Row],[Codigo de Producto]],Productos[#All],3,FALSE),"")</f>
        <v>Porcelana</v>
      </c>
      <c r="E4234" t="s">
        <v>708</v>
      </c>
      <c r="F4234" s="57" t="str">
        <f>IFERROR(+VLOOKUP(Ventas[[#This Row],[Codigo de Producto]],Productos[#All],4,FALSE),"")</f>
        <v xml:space="preserve">Porcelana Maya </v>
      </c>
      <c r="G4234">
        <v>1</v>
      </c>
      <c r="H4234">
        <v>60</v>
      </c>
      <c r="I4234" s="57">
        <f>IF(Ventas[[#This Row],[Cantidad]]="","",+Ventas[[#This Row],[Cantidad]]*Ventas[[#This Row],[Precio]])</f>
        <v>60</v>
      </c>
      <c r="J4234" s="57" t="str">
        <f>IFERROR(+VLOOKUP(Ventas[[#This Row],[Codigo de Producto]],Productos[#All],2,FALSE),"")</f>
        <v>Martinez</v>
      </c>
      <c r="K4234" s="57">
        <f>IFERROR(+VLOOKUP(Ventas[[#This Row],[Codigo de Producto]],Productos[#All],9,FALSE),"")</f>
        <v>33.333333333333336</v>
      </c>
      <c r="M4234" s="57">
        <f t="shared" si="1288"/>
        <v>33.333333333333336</v>
      </c>
      <c r="N4234" s="57">
        <f t="shared" si="1289"/>
        <v>26.666666666666664</v>
      </c>
    </row>
    <row r="4235" spans="1:14" x14ac:dyDescent="0.25">
      <c r="A4235">
        <v>81</v>
      </c>
      <c r="B4235" s="1">
        <v>44170</v>
      </c>
      <c r="C4235" s="57" t="str">
        <f>IF(Ventas[[#This Row],[Fecha ]]="","",+TEXT(B4235,"mmmm"))</f>
        <v>diciembre</v>
      </c>
      <c r="D4235" s="57" t="str">
        <f>IFERROR(+VLOOKUP(Ventas[[#This Row],[Codigo de Producto]],Productos[#All],3,FALSE),"")</f>
        <v>Cerámica</v>
      </c>
      <c r="E4235" t="s">
        <v>892</v>
      </c>
      <c r="F4235" s="57" t="str">
        <f>IFERROR(+VLOOKUP(Ventas[[#This Row],[Codigo de Producto]],Productos[#All],4,FALSE),"")</f>
        <v>Babilonia Blanco</v>
      </c>
      <c r="G4235">
        <f>5/9</f>
        <v>0.55555555555555558</v>
      </c>
      <c r="H4235">
        <v>240</v>
      </c>
      <c r="I4235" s="57">
        <f>IF(Ventas[[#This Row],[Cantidad]]="","",+Ventas[[#This Row],[Cantidad]]*Ventas[[#This Row],[Precio]])</f>
        <v>133.33333333333334</v>
      </c>
      <c r="J4235" s="57" t="str">
        <f>IFERROR(+VLOOKUP(Ventas[[#This Row],[Codigo de Producto]],Productos[#All],2,FALSE),"")</f>
        <v>Comasa</v>
      </c>
      <c r="K4235" s="57">
        <f ca="1">IFERROR(+VLOOKUP(Ventas[[#This Row],[Codigo de Producto]],Productos[#All],9,FALSE),"")</f>
        <v>216.82</v>
      </c>
      <c r="M4235" s="57">
        <f t="shared" ca="1" si="1288"/>
        <v>120.45555555555556</v>
      </c>
      <c r="N4235" s="57">
        <f t="shared" ca="1" si="1289"/>
        <v>12.87777777777778</v>
      </c>
    </row>
    <row r="4236" spans="1:14" x14ac:dyDescent="0.25">
      <c r="A4236">
        <v>82</v>
      </c>
      <c r="B4236" s="1">
        <v>44170</v>
      </c>
      <c r="C4236" s="57" t="str">
        <f>IF(Ventas[[#This Row],[Fecha ]]="","",+TEXT(B4236,"mmmm"))</f>
        <v>diciembre</v>
      </c>
      <c r="D4236" s="57" t="str">
        <f>IFERROR(+VLOOKUP(Ventas[[#This Row],[Codigo de Producto]],Productos[#All],3,FALSE),"")</f>
        <v>Cerámica</v>
      </c>
      <c r="E4236" t="s">
        <v>871</v>
      </c>
      <c r="F4236" s="57" t="str">
        <f>IFERROR(+VLOOKUP(Ventas[[#This Row],[Codigo de Producto]],Productos[#All],4,FALSE),"")</f>
        <v>Piso Incenor Plain White 58x58</v>
      </c>
      <c r="G4236">
        <v>25</v>
      </c>
      <c r="H4236">
        <v>255</v>
      </c>
      <c r="I4236" s="57">
        <f>IF(Ventas[[#This Row],[Cantidad]]="","",+Ventas[[#This Row],[Cantidad]]*Ventas[[#This Row],[Precio]])</f>
        <v>6375</v>
      </c>
      <c r="J4236" s="57" t="str">
        <f>IFERROR(+VLOOKUP(Ventas[[#This Row],[Codigo de Producto]],Productos[#All],2,FALSE),"")</f>
        <v>Halcón</v>
      </c>
      <c r="K4236" s="57">
        <f ca="1">IFERROR(+VLOOKUP(Ventas[[#This Row],[Codigo de Producto]],Productos[#All],9,FALSE),"")</f>
        <v>225</v>
      </c>
      <c r="M4236" s="57">
        <f t="shared" ca="1" si="1288"/>
        <v>5625</v>
      </c>
      <c r="N4236" s="57">
        <f t="shared" ca="1" si="1289"/>
        <v>750</v>
      </c>
    </row>
    <row r="4237" spans="1:14" x14ac:dyDescent="0.25">
      <c r="A4237">
        <v>83</v>
      </c>
      <c r="B4237" s="1">
        <v>44170</v>
      </c>
      <c r="C4237" s="57" t="str">
        <f>IF(Ventas[[#This Row],[Fecha ]]="","",+TEXT(B4237,"mmmm"))</f>
        <v>diciembre</v>
      </c>
      <c r="D4237" s="57" t="str">
        <f>IFERROR(+VLOOKUP(Ventas[[#This Row],[Codigo de Producto]],Productos[#All],3,FALSE),"")</f>
        <v>Cerámica</v>
      </c>
      <c r="E4237" t="s">
        <v>693</v>
      </c>
      <c r="F4237" s="57" t="str">
        <f>IFERROR(+VLOOKUP(Ventas[[#This Row],[Codigo de Producto]],Productos[#All],4,FALSE),"")</f>
        <v>Madera Dinizia Claro</v>
      </c>
      <c r="G4237">
        <v>1</v>
      </c>
      <c r="H4237">
        <v>240</v>
      </c>
      <c r="I4237" s="57">
        <f>IF(Ventas[[#This Row],[Cantidad]]="","",+Ventas[[#This Row],[Cantidad]]*Ventas[[#This Row],[Precio]])</f>
        <v>240</v>
      </c>
      <c r="J4237" s="57" t="str">
        <f>IFERROR(+VLOOKUP(Ventas[[#This Row],[Codigo de Producto]],Productos[#All],2,FALSE),"")</f>
        <v>Comasa</v>
      </c>
      <c r="K4237" s="57">
        <f>IFERROR(+VLOOKUP(Ventas[[#This Row],[Codigo de Producto]],Productos[#All],9,FALSE),"")</f>
        <v>212</v>
      </c>
      <c r="M4237" s="57">
        <f t="shared" si="1288"/>
        <v>212</v>
      </c>
      <c r="N4237" s="57">
        <f t="shared" si="1289"/>
        <v>28</v>
      </c>
    </row>
    <row r="4238" spans="1:14" x14ac:dyDescent="0.25">
      <c r="A4238">
        <v>84</v>
      </c>
      <c r="B4238" s="1">
        <v>44170</v>
      </c>
      <c r="C4238" s="57" t="str">
        <f>IF(Ventas[[#This Row],[Fecha ]]="","",+TEXT(B4238,"mmmm"))</f>
        <v>diciembre</v>
      </c>
      <c r="D4238" s="57" t="str">
        <f>IFERROR(+VLOOKUP(Ventas[[#This Row],[Codigo de Producto]],Productos[#All],3,FALSE),"")</f>
        <v>Porcelana</v>
      </c>
      <c r="E4238" t="s">
        <v>708</v>
      </c>
      <c r="F4238" s="57" t="str">
        <f>IFERROR(+VLOOKUP(Ventas[[#This Row],[Codigo de Producto]],Productos[#All],4,FALSE),"")</f>
        <v xml:space="preserve">Porcelana Maya </v>
      </c>
      <c r="G4238">
        <v>1</v>
      </c>
      <c r="H4238">
        <v>60</v>
      </c>
      <c r="I4238" s="57">
        <f>IF(Ventas[[#This Row],[Cantidad]]="","",+Ventas[[#This Row],[Cantidad]]*Ventas[[#This Row],[Precio]])</f>
        <v>60</v>
      </c>
      <c r="J4238" s="57" t="str">
        <f>IFERROR(+VLOOKUP(Ventas[[#This Row],[Codigo de Producto]],Productos[#All],2,FALSE),"")</f>
        <v>Martinez</v>
      </c>
      <c r="K4238" s="57">
        <f>IFERROR(+VLOOKUP(Ventas[[#This Row],[Codigo de Producto]],Productos[#All],9,FALSE),"")</f>
        <v>33.333333333333336</v>
      </c>
      <c r="M4238" s="57">
        <f t="shared" si="1288"/>
        <v>33.333333333333336</v>
      </c>
      <c r="N4238" s="57">
        <f t="shared" si="1289"/>
        <v>26.666666666666664</v>
      </c>
    </row>
    <row r="4239" spans="1:14" x14ac:dyDescent="0.25">
      <c r="A4239">
        <v>85</v>
      </c>
      <c r="B4239" s="1">
        <v>44170</v>
      </c>
      <c r="C4239" s="57" t="str">
        <f>IF(Ventas[[#This Row],[Fecha ]]="","",+TEXT(B4239,"mmmm"))</f>
        <v>diciembre</v>
      </c>
      <c r="D4239" s="57" t="str">
        <f>IFERROR(+VLOOKUP(Ventas[[#This Row],[Codigo de Producto]],Productos[#All],3,FALSE),"")</f>
        <v>Cerámica</v>
      </c>
      <c r="E4239" t="s">
        <v>696</v>
      </c>
      <c r="F4239" s="57" t="str">
        <f>IFERROR(+VLOOKUP(Ventas[[#This Row],[Codigo de Producto]],Productos[#All],4,FALSE),"")</f>
        <v>Madera Cedro</v>
      </c>
      <c r="G4239">
        <v>12</v>
      </c>
      <c r="H4239">
        <v>280</v>
      </c>
      <c r="I4239" s="57">
        <f>IF(Ventas[[#This Row],[Cantidad]]="","",+Ventas[[#This Row],[Cantidad]]*Ventas[[#This Row],[Precio]])</f>
        <v>3360</v>
      </c>
      <c r="J4239" s="57" t="str">
        <f>IFERROR(+VLOOKUP(Ventas[[#This Row],[Codigo de Producto]],Productos[#All],2,FALSE),"")</f>
        <v>Comasa</v>
      </c>
      <c r="K4239" s="57">
        <f>IFERROR(+VLOOKUP(Ventas[[#This Row],[Codigo de Producto]],Productos[#All],9,FALSE),"")</f>
        <v>236</v>
      </c>
      <c r="M4239" s="57">
        <f t="shared" si="1288"/>
        <v>2832</v>
      </c>
      <c r="N4239" s="57">
        <f t="shared" si="1289"/>
        <v>528</v>
      </c>
    </row>
    <row r="4240" spans="1:14" x14ac:dyDescent="0.25">
      <c r="A4240">
        <v>86</v>
      </c>
      <c r="B4240" s="1">
        <v>44170</v>
      </c>
      <c r="C4240" s="57" t="str">
        <f>IF(Ventas[[#This Row],[Fecha ]]="","",+TEXT(B4240,"mmmm"))</f>
        <v>diciembre</v>
      </c>
      <c r="D4240" s="57" t="str">
        <f>IFERROR(+VLOOKUP(Ventas[[#This Row],[Codigo de Producto]],Productos[#All],3,FALSE),"")</f>
        <v>Bond</v>
      </c>
      <c r="E4240" t="s">
        <v>704</v>
      </c>
      <c r="F4240" s="57" t="str">
        <f>IFERROR(+VLOOKUP(Ventas[[#This Row],[Codigo de Producto]],Productos[#All],4,FALSE),"")</f>
        <v>Drytec Bond Plus</v>
      </c>
      <c r="G4240">
        <v>4</v>
      </c>
      <c r="H4240">
        <v>155</v>
      </c>
      <c r="I4240" s="57">
        <f>IF(Ventas[[#This Row],[Cantidad]]="","",+Ventas[[#This Row],[Cantidad]]*Ventas[[#This Row],[Precio]])</f>
        <v>620</v>
      </c>
      <c r="J4240" s="57" t="str">
        <f>IFERROR(+VLOOKUP(Ventas[[#This Row],[Codigo de Producto]],Productos[#All],2,FALSE),"")</f>
        <v>Comasa</v>
      </c>
      <c r="K4240" s="57">
        <f>IFERROR(+VLOOKUP(Ventas[[#This Row],[Codigo de Producto]],Productos[#All],9,FALSE),"")</f>
        <v>127</v>
      </c>
      <c r="M4240" s="57">
        <f t="shared" si="1288"/>
        <v>508</v>
      </c>
      <c r="N4240" s="57">
        <f t="shared" si="1289"/>
        <v>112</v>
      </c>
    </row>
    <row r="4241" spans="1:14" x14ac:dyDescent="0.25">
      <c r="A4241">
        <v>87</v>
      </c>
      <c r="B4241" s="1">
        <v>44170</v>
      </c>
      <c r="C4241" s="57" t="str">
        <f>IF(Ventas[[#This Row],[Fecha ]]="","",+TEXT(B4241,"mmmm"))</f>
        <v>diciembre</v>
      </c>
      <c r="D4241" s="57" t="str">
        <f>IFERROR(+VLOOKUP(Ventas[[#This Row],[Codigo de Producto]],Productos[#All],3,FALSE),"")</f>
        <v>Porcelana</v>
      </c>
      <c r="E4241" t="s">
        <v>708</v>
      </c>
      <c r="F4241" s="57" t="str">
        <f>IFERROR(+VLOOKUP(Ventas[[#This Row],[Codigo de Producto]],Productos[#All],4,FALSE),"")</f>
        <v xml:space="preserve">Porcelana Maya </v>
      </c>
      <c r="G4241">
        <v>1</v>
      </c>
      <c r="H4241">
        <v>60</v>
      </c>
      <c r="I4241" s="57">
        <f>IF(Ventas[[#This Row],[Cantidad]]="","",+Ventas[[#This Row],[Cantidad]]*Ventas[[#This Row],[Precio]])</f>
        <v>60</v>
      </c>
      <c r="J4241" s="57" t="str">
        <f>IFERROR(+VLOOKUP(Ventas[[#This Row],[Codigo de Producto]],Productos[#All],2,FALSE),"")</f>
        <v>Martinez</v>
      </c>
      <c r="K4241" s="57">
        <f>IFERROR(+VLOOKUP(Ventas[[#This Row],[Codigo de Producto]],Productos[#All],9,FALSE),"")</f>
        <v>33.333333333333336</v>
      </c>
      <c r="M4241" s="57">
        <f t="shared" si="1288"/>
        <v>33.333333333333336</v>
      </c>
      <c r="N4241" s="57">
        <f t="shared" si="1289"/>
        <v>26.666666666666664</v>
      </c>
    </row>
    <row r="4242" spans="1:14" x14ac:dyDescent="0.25">
      <c r="A4242">
        <v>88</v>
      </c>
      <c r="B4242" s="1">
        <v>44170</v>
      </c>
      <c r="C4242" s="57" t="str">
        <f>IF(Ventas[[#This Row],[Fecha ]]="","",+TEXT(B4242,"mmmm"))</f>
        <v>diciembre</v>
      </c>
      <c r="D4242" s="57" t="str">
        <f>IFERROR(+VLOOKUP(Ventas[[#This Row],[Codigo de Producto]],Productos[#All],3,FALSE),"")</f>
        <v>Cerámica</v>
      </c>
      <c r="E4242" t="s">
        <v>890</v>
      </c>
      <c r="F4242" s="57" t="str">
        <f>IFERROR(+VLOOKUP(Ventas[[#This Row],[Codigo de Producto]],Productos[#All],4,FALSE),"")</f>
        <v>Calzada Gris</v>
      </c>
      <c r="G4242">
        <v>2.15</v>
      </c>
      <c r="H4242">
        <v>250</v>
      </c>
      <c r="I4242" s="57">
        <f>IF(Ventas[[#This Row],[Cantidad]]="","",+Ventas[[#This Row],[Cantidad]]*Ventas[[#This Row],[Precio]])</f>
        <v>537.5</v>
      </c>
      <c r="J4242" s="57" t="str">
        <f>IFERROR(+VLOOKUP(Ventas[[#This Row],[Codigo de Producto]],Productos[#All],2,FALSE),"")</f>
        <v>Comasa</v>
      </c>
      <c r="K4242" s="57">
        <f ca="1">IFERROR(+VLOOKUP(Ventas[[#This Row],[Codigo de Producto]],Productos[#All],9,FALSE),"")</f>
        <v>232.64</v>
      </c>
      <c r="M4242" s="57">
        <f t="shared" ca="1" si="1288"/>
        <v>500.17599999999993</v>
      </c>
      <c r="N4242" s="57">
        <f t="shared" ca="1" si="1289"/>
        <v>37.324000000000069</v>
      </c>
    </row>
    <row r="4243" spans="1:14" x14ac:dyDescent="0.25">
      <c r="A4243">
        <v>89</v>
      </c>
      <c r="B4243" s="1">
        <v>44170</v>
      </c>
      <c r="C4243" s="57" t="str">
        <f>IF(Ventas[[#This Row],[Fecha ]]="","",+TEXT(B4243,"mmmm"))</f>
        <v>diciembre</v>
      </c>
      <c r="D4243" s="57" t="str">
        <f>IFERROR(+VLOOKUP(Ventas[[#This Row],[Codigo de Producto]],Productos[#All],3,FALSE),"")</f>
        <v>Azulejos</v>
      </c>
      <c r="E4243" t="s">
        <v>716</v>
      </c>
      <c r="F4243" s="57" t="str">
        <f>IFERROR(+VLOOKUP(Ventas[[#This Row],[Codigo de Producto]],Productos[#All],4,FALSE),"")</f>
        <v>Lisboa Verde Liso</v>
      </c>
      <c r="G4243">
        <f>5*1.41+(7/12)</f>
        <v>7.6333333333333329</v>
      </c>
      <c r="H4243">
        <v>295</v>
      </c>
      <c r="I4243" s="57">
        <f>IF(Ventas[[#This Row],[Cantidad]]="","",+Ventas[[#This Row],[Cantidad]]*Ventas[[#This Row],[Precio]])</f>
        <v>2251.833333333333</v>
      </c>
      <c r="J4243" s="57" t="str">
        <f>IFERROR(+VLOOKUP(Ventas[[#This Row],[Codigo de Producto]],Productos[#All],2,FALSE),"")</f>
        <v>Dispiasa</v>
      </c>
      <c r="K4243" s="57">
        <f>IFERROR(+VLOOKUP(Ventas[[#This Row],[Codigo de Producto]],Productos[#All],9,FALSE),"")</f>
        <v>268</v>
      </c>
      <c r="M4243" s="57">
        <f t="shared" si="1288"/>
        <v>2045.7333333333331</v>
      </c>
      <c r="N4243" s="57">
        <f t="shared" si="1289"/>
        <v>206.09999999999991</v>
      </c>
    </row>
    <row r="4244" spans="1:14" x14ac:dyDescent="0.25">
      <c r="A4244">
        <v>90</v>
      </c>
      <c r="B4244" s="1">
        <v>44170</v>
      </c>
      <c r="C4244" s="57" t="str">
        <f>IF(Ventas[[#This Row],[Fecha ]]="","",+TEXT(B4244,"mmmm"))</f>
        <v>diciembre</v>
      </c>
      <c r="D4244" s="57" t="str">
        <f>IFERROR(+VLOOKUP(Ventas[[#This Row],[Codigo de Producto]],Productos[#All],3,FALSE),"")</f>
        <v>Azulejos</v>
      </c>
      <c r="E4244" t="s">
        <v>739</v>
      </c>
      <c r="F4244" s="57" t="str">
        <f>IFERROR(+VLOOKUP(Ventas[[#This Row],[Codigo de Producto]],Productos[#All],4,FALSE),"")</f>
        <v>Lisboa Verde 1</v>
      </c>
      <c r="G4244">
        <f>28/12</f>
        <v>2.3333333333333335</v>
      </c>
      <c r="H4244">
        <v>295</v>
      </c>
      <c r="I4244" s="57">
        <f>IF(Ventas[[#This Row],[Cantidad]]="","",+Ventas[[#This Row],[Cantidad]]*Ventas[[#This Row],[Precio]])</f>
        <v>688.33333333333337</v>
      </c>
      <c r="J4244" s="57" t="str">
        <f>IFERROR(+VLOOKUP(Ventas[[#This Row],[Codigo de Producto]],Productos[#All],2,FALSE),"")</f>
        <v>Dispiasa</v>
      </c>
      <c r="K4244" s="57">
        <f>IFERROR(+VLOOKUP(Ventas[[#This Row],[Codigo de Producto]],Productos[#All],9,FALSE),"")</f>
        <v>268</v>
      </c>
      <c r="M4244" s="57">
        <f t="shared" si="1288"/>
        <v>625.33333333333337</v>
      </c>
      <c r="N4244" s="57">
        <f t="shared" si="1289"/>
        <v>63</v>
      </c>
    </row>
    <row r="4245" spans="1:14" x14ac:dyDescent="0.25">
      <c r="A4245">
        <v>91</v>
      </c>
      <c r="B4245" s="1">
        <v>44170</v>
      </c>
      <c r="C4245" s="57" t="str">
        <f>IF(Ventas[[#This Row],[Fecha ]]="","",+TEXT(B4245,"mmmm"))</f>
        <v>diciembre</v>
      </c>
      <c r="D4245" s="57" t="str">
        <f>IFERROR(+VLOOKUP(Ventas[[#This Row],[Codigo de Producto]],Productos[#All],3,FALSE),"")</f>
        <v>Cerámica</v>
      </c>
      <c r="E4245" t="s">
        <v>663</v>
      </c>
      <c r="F4245" s="57" t="str">
        <f>IFERROR(+VLOOKUP(Ventas[[#This Row],[Codigo de Producto]],Productos[#All],4,FALSE),"")</f>
        <v>Mosaico Verde</v>
      </c>
      <c r="G4245">
        <v>3</v>
      </c>
      <c r="H4245">
        <v>295</v>
      </c>
      <c r="I4245" s="57">
        <f>IF(Ventas[[#This Row],[Cantidad]]="","",+Ventas[[#This Row],[Cantidad]]*Ventas[[#This Row],[Precio]])</f>
        <v>885</v>
      </c>
      <c r="J4245" s="57" t="str">
        <f>IFERROR(+VLOOKUP(Ventas[[#This Row],[Codigo de Producto]],Productos[#All],2,FALSE),"")</f>
        <v>Dispiasa</v>
      </c>
      <c r="K4245" s="57">
        <f>IFERROR(+VLOOKUP(Ventas[[#This Row],[Codigo de Producto]],Productos[#All],9,FALSE),"")</f>
        <v>268</v>
      </c>
      <c r="M4245" s="57">
        <f t="shared" si="1288"/>
        <v>804</v>
      </c>
      <c r="N4245" s="57">
        <f t="shared" si="1289"/>
        <v>81</v>
      </c>
    </row>
    <row r="4246" spans="1:14" x14ac:dyDescent="0.25">
      <c r="A4246">
        <v>92</v>
      </c>
      <c r="B4246" s="1">
        <v>44172</v>
      </c>
      <c r="C4246" s="57" t="str">
        <f>IF(Ventas[[#This Row],[Fecha ]]="","",+TEXT(B4246,"mmmm"))</f>
        <v>diciembre</v>
      </c>
      <c r="D4246" s="57" t="str">
        <f>IFERROR(+VLOOKUP(Ventas[[#This Row],[Codigo de Producto]],Productos[#All],3,FALSE),"")</f>
        <v>Cerámica</v>
      </c>
      <c r="E4246" t="s">
        <v>901</v>
      </c>
      <c r="F4246" s="57" t="str">
        <f>IFERROR(+VLOOKUP(Ventas[[#This Row],[Codigo de Producto]],Productos[#All],4,FALSE),"")</f>
        <v>722 Azul</v>
      </c>
      <c r="G4246">
        <v>4</v>
      </c>
      <c r="H4246">
        <v>240</v>
      </c>
      <c r="I4246" s="57">
        <f>IF(Ventas[[#This Row],[Cantidad]]="","",+Ventas[[#This Row],[Cantidad]]*Ventas[[#This Row],[Precio]])</f>
        <v>960</v>
      </c>
      <c r="J4246" s="57" t="str">
        <f>IFERROR(+VLOOKUP(Ventas[[#This Row],[Codigo de Producto]],Productos[#All],2,FALSE),"")</f>
        <v>Dispiasa</v>
      </c>
      <c r="K4246" s="57">
        <f ca="1">IFERROR(+VLOOKUP(Ventas[[#This Row],[Codigo de Producto]],Productos[#All],9,FALSE),"")</f>
        <v>207</v>
      </c>
      <c r="M4246" s="57">
        <f t="shared" ref="M4246:M4257" ca="1" si="1290">+IF(K4246=0,(""),(K4246*G4246))</f>
        <v>828</v>
      </c>
      <c r="N4246" s="57">
        <f t="shared" ref="N4246:N4282" ca="1" si="1291">+IF(K4246=0,(""),(I4246-M4246))</f>
        <v>132</v>
      </c>
    </row>
    <row r="4247" spans="1:14" x14ac:dyDescent="0.25">
      <c r="A4247">
        <v>93</v>
      </c>
      <c r="B4247" s="1">
        <v>44172</v>
      </c>
      <c r="C4247" s="57" t="str">
        <f>IF(Ventas[[#This Row],[Fecha ]]="","",+TEXT(B4247,"mmmm"))</f>
        <v>diciembre</v>
      </c>
      <c r="D4247" s="57" t="str">
        <f>IFERROR(+VLOOKUP(Ventas[[#This Row],[Codigo de Producto]],Productos[#All],3,FALSE),"")</f>
        <v>Bond</v>
      </c>
      <c r="E4247" t="s">
        <v>704</v>
      </c>
      <c r="F4247" s="57" t="str">
        <f>IFERROR(+VLOOKUP(Ventas[[#This Row],[Codigo de Producto]],Productos[#All],4,FALSE),"")</f>
        <v>Drytec Bond Plus</v>
      </c>
      <c r="G4247">
        <v>2</v>
      </c>
      <c r="H4247">
        <v>155</v>
      </c>
      <c r="I4247" s="57">
        <f>IF(Ventas[[#This Row],[Cantidad]]="","",+Ventas[[#This Row],[Cantidad]]*Ventas[[#This Row],[Precio]])</f>
        <v>310</v>
      </c>
      <c r="J4247" s="57" t="str">
        <f>IFERROR(+VLOOKUP(Ventas[[#This Row],[Codigo de Producto]],Productos[#All],2,FALSE),"")</f>
        <v>Comasa</v>
      </c>
      <c r="K4247" s="57">
        <f>IFERROR(+VLOOKUP(Ventas[[#This Row],[Codigo de Producto]],Productos[#All],9,FALSE),"")</f>
        <v>127</v>
      </c>
      <c r="M4247" s="57">
        <f t="shared" si="1290"/>
        <v>254</v>
      </c>
      <c r="N4247" s="57">
        <f t="shared" si="1291"/>
        <v>56</v>
      </c>
    </row>
    <row r="4248" spans="1:14" x14ac:dyDescent="0.25">
      <c r="A4248">
        <v>94</v>
      </c>
      <c r="B4248" s="1">
        <v>44172</v>
      </c>
      <c r="C4248" s="57" t="str">
        <f>IF(Ventas[[#This Row],[Fecha ]]="","",+TEXT(B4248,"mmmm"))</f>
        <v>diciembre</v>
      </c>
      <c r="D4248" s="57" t="str">
        <f>IFERROR(+VLOOKUP(Ventas[[#This Row],[Codigo de Producto]],Productos[#All],3,FALSE),"")</f>
        <v>Bond</v>
      </c>
      <c r="E4248" t="s">
        <v>704</v>
      </c>
      <c r="F4248" s="57" t="str">
        <f>IFERROR(+VLOOKUP(Ventas[[#This Row],[Codigo de Producto]],Productos[#All],4,FALSE),"")</f>
        <v>Drytec Bond Plus</v>
      </c>
      <c r="G4248">
        <v>2</v>
      </c>
      <c r="H4248">
        <v>155</v>
      </c>
      <c r="I4248" s="57">
        <f>IF(Ventas[[#This Row],[Cantidad]]="","",+Ventas[[#This Row],[Cantidad]]*Ventas[[#This Row],[Precio]])</f>
        <v>310</v>
      </c>
      <c r="J4248" s="57" t="str">
        <f>IFERROR(+VLOOKUP(Ventas[[#This Row],[Codigo de Producto]],Productos[#All],2,FALSE),"")</f>
        <v>Comasa</v>
      </c>
      <c r="K4248" s="57">
        <f>IFERROR(+VLOOKUP(Ventas[[#This Row],[Codigo de Producto]],Productos[#All],9,FALSE),"")</f>
        <v>127</v>
      </c>
      <c r="M4248" s="57">
        <f t="shared" si="1290"/>
        <v>254</v>
      </c>
      <c r="N4248" s="57">
        <f t="shared" si="1291"/>
        <v>56</v>
      </c>
    </row>
    <row r="4249" spans="1:14" x14ac:dyDescent="0.25">
      <c r="A4249">
        <v>95</v>
      </c>
      <c r="B4249" s="1">
        <v>44172</v>
      </c>
      <c r="C4249" s="57" t="str">
        <f>IF(Ventas[[#This Row],[Fecha ]]="","",+TEXT(B4249,"mmmm"))</f>
        <v>diciembre</v>
      </c>
      <c r="D4249" s="57" t="str">
        <f>IFERROR(+VLOOKUP(Ventas[[#This Row],[Codigo de Producto]],Productos[#All],3,FALSE),"")</f>
        <v>Plasterbond</v>
      </c>
      <c r="E4249" t="s">
        <v>713</v>
      </c>
      <c r="F4249" s="57" t="str">
        <f>IFERROR(+VLOOKUP(Ventas[[#This Row],[Codigo de Producto]],Productos[#All],4,FALSE),"")</f>
        <v>Plasterbond Klebe</v>
      </c>
      <c r="G4249">
        <v>1</v>
      </c>
      <c r="H4249">
        <v>100</v>
      </c>
      <c r="I4249" s="57">
        <f>IF(Ventas[[#This Row],[Cantidad]]="","",+Ventas[[#This Row],[Cantidad]]*Ventas[[#This Row],[Precio]])</f>
        <v>100</v>
      </c>
      <c r="J4249" s="57" t="str">
        <f>IFERROR(+VLOOKUP(Ventas[[#This Row],[Codigo de Producto]],Productos[#All],2,FALSE),"")</f>
        <v>Aginsa</v>
      </c>
      <c r="K4249" s="57">
        <f>IFERROR(+VLOOKUP(Ventas[[#This Row],[Codigo de Producto]],Productos[#All],9,FALSE),"")</f>
        <v>80</v>
      </c>
      <c r="M4249" s="57">
        <f t="shared" si="1290"/>
        <v>80</v>
      </c>
      <c r="N4249" s="57">
        <f t="shared" si="1291"/>
        <v>20</v>
      </c>
    </row>
    <row r="4250" spans="1:14" x14ac:dyDescent="0.25">
      <c r="A4250">
        <v>96</v>
      </c>
      <c r="B4250" s="1">
        <v>44172</v>
      </c>
      <c r="C4250" s="57" t="str">
        <f>IF(Ventas[[#This Row],[Fecha ]]="","",+TEXT(B4250,"mmmm"))</f>
        <v>diciembre</v>
      </c>
      <c r="D4250" s="57" t="str">
        <f>IFERROR(+VLOOKUP(Ventas[[#This Row],[Codigo de Producto]],Productos[#All],3,FALSE),"")</f>
        <v>Cerámica</v>
      </c>
      <c r="E4250" t="s">
        <v>625</v>
      </c>
      <c r="F4250" s="57" t="str">
        <f>IFERROR(+VLOOKUP(Ventas[[#This Row],[Codigo de Producto]],Productos[#All],4,FALSE),"")</f>
        <v>Florencia Beige</v>
      </c>
      <c r="G4250">
        <v>1.6667000000000001</v>
      </c>
      <c r="H4250">
        <v>300</v>
      </c>
      <c r="I4250" s="57">
        <f>IF(Ventas[[#This Row],[Cantidad]]="","",+Ventas[[#This Row],[Cantidad]]*Ventas[[#This Row],[Precio]])</f>
        <v>500.01000000000005</v>
      </c>
      <c r="J4250" s="57" t="str">
        <f>IFERROR(+VLOOKUP(Ventas[[#This Row],[Codigo de Producto]],Productos[#All],2,FALSE),"")</f>
        <v>Dispiasa</v>
      </c>
      <c r="K4250" s="57">
        <f>IFERROR(+VLOOKUP(Ventas[[#This Row],[Codigo de Producto]],Productos[#All],9,FALSE),"")</f>
        <v>268</v>
      </c>
      <c r="M4250" s="57">
        <f t="shared" si="1290"/>
        <v>446.67560000000003</v>
      </c>
      <c r="N4250" s="57">
        <f t="shared" si="1291"/>
        <v>53.334400000000016</v>
      </c>
    </row>
    <row r="4251" spans="1:14" x14ac:dyDescent="0.25">
      <c r="A4251">
        <v>97</v>
      </c>
      <c r="B4251" s="1">
        <v>44172</v>
      </c>
      <c r="C4251" s="57" t="str">
        <f>IF(Ventas[[#This Row],[Fecha ]]="","",+TEXT(B4251,"mmmm"))</f>
        <v>diciembre</v>
      </c>
      <c r="D4251" s="57" t="str">
        <f>IFERROR(+VLOOKUP(Ventas[[#This Row],[Codigo de Producto]],Productos[#All],3,FALSE),"")</f>
        <v>Porcelana</v>
      </c>
      <c r="E4251" t="s">
        <v>708</v>
      </c>
      <c r="F4251" s="57" t="str">
        <f>IFERROR(+VLOOKUP(Ventas[[#This Row],[Codigo de Producto]],Productos[#All],4,FALSE),"")</f>
        <v xml:space="preserve">Porcelana Maya </v>
      </c>
      <c r="G4251">
        <v>1</v>
      </c>
      <c r="H4251">
        <v>60</v>
      </c>
      <c r="I4251" s="57">
        <f>IF(Ventas[[#This Row],[Cantidad]]="","",+Ventas[[#This Row],[Cantidad]]*Ventas[[#This Row],[Precio]])</f>
        <v>60</v>
      </c>
      <c r="J4251" s="57" t="str">
        <f>IFERROR(+VLOOKUP(Ventas[[#This Row],[Codigo de Producto]],Productos[#All],2,FALSE),"")</f>
        <v>Martinez</v>
      </c>
      <c r="K4251" s="57">
        <f>IFERROR(+VLOOKUP(Ventas[[#This Row],[Codigo de Producto]],Productos[#All],9,FALSE),"")</f>
        <v>33.333333333333336</v>
      </c>
      <c r="M4251" s="57">
        <f t="shared" si="1290"/>
        <v>33.333333333333336</v>
      </c>
      <c r="N4251" s="57">
        <f t="shared" si="1291"/>
        <v>26.666666666666664</v>
      </c>
    </row>
    <row r="4252" spans="1:14" x14ac:dyDescent="0.25">
      <c r="A4252">
        <v>98</v>
      </c>
      <c r="B4252" s="1">
        <v>44172</v>
      </c>
      <c r="C4252" s="57" t="str">
        <f>IF(Ventas[[#This Row],[Fecha ]]="","",+TEXT(B4252,"mmmm"))</f>
        <v>diciembre</v>
      </c>
      <c r="D4252" s="57" t="str">
        <f>IFERROR(+VLOOKUP(Ventas[[#This Row],[Codigo de Producto]],Productos[#All],3,FALSE),"")</f>
        <v>Porcelana</v>
      </c>
      <c r="E4252" t="s">
        <v>708</v>
      </c>
      <c r="F4252" s="57" t="str">
        <f>IFERROR(+VLOOKUP(Ventas[[#This Row],[Codigo de Producto]],Productos[#All],4,FALSE),"")</f>
        <v xml:space="preserve">Porcelana Maya </v>
      </c>
      <c r="G4252">
        <v>1</v>
      </c>
      <c r="H4252">
        <v>60</v>
      </c>
      <c r="I4252" s="57">
        <f>IF(Ventas[[#This Row],[Cantidad]]="","",+Ventas[[#This Row],[Cantidad]]*Ventas[[#This Row],[Precio]])</f>
        <v>60</v>
      </c>
      <c r="J4252" s="57" t="str">
        <f>IFERROR(+VLOOKUP(Ventas[[#This Row],[Codigo de Producto]],Productos[#All],2,FALSE),"")</f>
        <v>Martinez</v>
      </c>
      <c r="K4252" s="57">
        <f>IFERROR(+VLOOKUP(Ventas[[#This Row],[Codigo de Producto]],Productos[#All],9,FALSE),"")</f>
        <v>33.333333333333336</v>
      </c>
      <c r="M4252" s="57">
        <f t="shared" si="1290"/>
        <v>33.333333333333336</v>
      </c>
      <c r="N4252" s="57">
        <f t="shared" si="1291"/>
        <v>26.666666666666664</v>
      </c>
    </row>
    <row r="4253" spans="1:14" x14ac:dyDescent="0.25">
      <c r="A4253">
        <v>99</v>
      </c>
      <c r="B4253" s="1">
        <v>44172</v>
      </c>
      <c r="C4253" s="57" t="str">
        <f>IF(Ventas[[#This Row],[Fecha ]]="","",+TEXT(B4253,"mmmm"))</f>
        <v>diciembre</v>
      </c>
      <c r="D4253" s="57" t="str">
        <f>IFERROR(+VLOOKUP(Ventas[[#This Row],[Codigo de Producto]],Productos[#All],3,FALSE),"")</f>
        <v>Cerámica</v>
      </c>
      <c r="E4253" t="s">
        <v>871</v>
      </c>
      <c r="F4253" s="57" t="str">
        <f>IFERROR(+VLOOKUP(Ventas[[#This Row],[Codigo de Producto]],Productos[#All],4,FALSE),"")</f>
        <v>Piso Incenor Plain White 58x58</v>
      </c>
      <c r="G4253">
        <f>2/8*2.68</f>
        <v>0.67</v>
      </c>
      <c r="H4253">
        <v>255</v>
      </c>
      <c r="I4253" s="57">
        <f>IF(Ventas[[#This Row],[Cantidad]]="","",+Ventas[[#This Row],[Cantidad]]*Ventas[[#This Row],[Precio]])</f>
        <v>170.85000000000002</v>
      </c>
      <c r="J4253" s="57" t="str">
        <f>IFERROR(+VLOOKUP(Ventas[[#This Row],[Codigo de Producto]],Productos[#All],2,FALSE),"")</f>
        <v>Halcón</v>
      </c>
      <c r="K4253" s="57">
        <f ca="1">IFERROR(+VLOOKUP(Ventas[[#This Row],[Codigo de Producto]],Productos[#All],9,FALSE),"")</f>
        <v>225</v>
      </c>
      <c r="M4253" s="57">
        <f t="shared" ca="1" si="1290"/>
        <v>150.75</v>
      </c>
      <c r="N4253" s="57">
        <f t="shared" ca="1" si="1291"/>
        <v>20.100000000000023</v>
      </c>
    </row>
    <row r="4254" spans="1:14" x14ac:dyDescent="0.25">
      <c r="A4254">
        <v>100</v>
      </c>
      <c r="B4254" s="1">
        <v>44172</v>
      </c>
      <c r="C4254" s="57" t="str">
        <f>IF(Ventas[[#This Row],[Fecha ]]="","",+TEXT(B4254,"mmmm"))</f>
        <v>diciembre</v>
      </c>
      <c r="D4254" s="57" t="str">
        <f>IFERROR(+VLOOKUP(Ventas[[#This Row],[Codigo de Producto]],Productos[#All],3,FALSE),"")</f>
        <v>Cerámica</v>
      </c>
      <c r="E4254" t="s">
        <v>893</v>
      </c>
      <c r="F4254" s="57" t="str">
        <f>IFERROR(+VLOOKUP(Ventas[[#This Row],[Codigo de Producto]],Productos[#All],4,FALSE),"")</f>
        <v>Belén Marrón</v>
      </c>
      <c r="G4254">
        <v>4</v>
      </c>
      <c r="H4254">
        <v>300</v>
      </c>
      <c r="I4254" s="57">
        <f>IF(Ventas[[#This Row],[Cantidad]]="","",+Ventas[[#This Row],[Cantidad]]*Ventas[[#This Row],[Precio]])</f>
        <v>1200</v>
      </c>
      <c r="J4254" s="57" t="str">
        <f>IFERROR(+VLOOKUP(Ventas[[#This Row],[Codigo de Producto]],Productos[#All],2,FALSE),"")</f>
        <v>Dispiasa</v>
      </c>
      <c r="K4254" s="57">
        <f ca="1">IFERROR(+VLOOKUP(Ventas[[#This Row],[Codigo de Producto]],Productos[#All],9,FALSE),"")</f>
        <v>268</v>
      </c>
      <c r="M4254" s="57">
        <f t="shared" ca="1" si="1290"/>
        <v>1072</v>
      </c>
      <c r="N4254" s="57">
        <f t="shared" ca="1" si="1291"/>
        <v>128</v>
      </c>
    </row>
    <row r="4255" spans="1:14" x14ac:dyDescent="0.25">
      <c r="A4255">
        <v>101</v>
      </c>
      <c r="B4255" s="1">
        <v>44172</v>
      </c>
      <c r="C4255" s="57" t="str">
        <f>IF(Ventas[[#This Row],[Fecha ]]="","",+TEXT(B4255,"mmmm"))</f>
        <v>diciembre</v>
      </c>
      <c r="D4255" s="57" t="str">
        <f>IFERROR(+VLOOKUP(Ventas[[#This Row],[Codigo de Producto]],Productos[#All],3,FALSE),"")</f>
        <v>Cerámica</v>
      </c>
      <c r="E4255" t="s">
        <v>892</v>
      </c>
      <c r="F4255" s="57" t="str">
        <f>IFERROR(+VLOOKUP(Ventas[[#This Row],[Codigo de Producto]],Productos[#All],4,FALSE),"")</f>
        <v>Babilonia Blanco</v>
      </c>
      <c r="G4255">
        <v>2</v>
      </c>
      <c r="H4255">
        <v>240</v>
      </c>
      <c r="I4255" s="57">
        <f>IF(Ventas[[#This Row],[Cantidad]]="","",+Ventas[[#This Row],[Cantidad]]*Ventas[[#This Row],[Precio]])</f>
        <v>480</v>
      </c>
      <c r="J4255" s="57" t="str">
        <f>IFERROR(+VLOOKUP(Ventas[[#This Row],[Codigo de Producto]],Productos[#All],2,FALSE),"")</f>
        <v>Comasa</v>
      </c>
      <c r="K4255" s="57">
        <f ca="1">IFERROR(+VLOOKUP(Ventas[[#This Row],[Codigo de Producto]],Productos[#All],9,FALSE),"")</f>
        <v>216.82</v>
      </c>
      <c r="M4255" s="57">
        <f t="shared" ca="1" si="1290"/>
        <v>433.64</v>
      </c>
      <c r="N4255" s="57">
        <f t="shared" ca="1" si="1291"/>
        <v>46.360000000000014</v>
      </c>
    </row>
    <row r="4256" spans="1:14" x14ac:dyDescent="0.25">
      <c r="A4256">
        <v>102</v>
      </c>
      <c r="B4256" s="1">
        <v>44172</v>
      </c>
      <c r="C4256" s="57" t="str">
        <f>IF(Ventas[[#This Row],[Fecha ]]="","",+TEXT(B4256,"mmmm"))</f>
        <v>diciembre</v>
      </c>
      <c r="D4256" s="57" t="str">
        <f>IFERROR(+VLOOKUP(Ventas[[#This Row],[Codigo de Producto]],Productos[#All],3,FALSE),"")</f>
        <v>Bond</v>
      </c>
      <c r="E4256" t="s">
        <v>704</v>
      </c>
      <c r="F4256" s="57" t="str">
        <f>IFERROR(+VLOOKUP(Ventas[[#This Row],[Codigo de Producto]],Productos[#All],4,FALSE),"")</f>
        <v>Drytec Bond Plus</v>
      </c>
      <c r="G4256">
        <v>2</v>
      </c>
      <c r="H4256">
        <v>155</v>
      </c>
      <c r="I4256" s="57">
        <f>IF(Ventas[[#This Row],[Cantidad]]="","",+Ventas[[#This Row],[Cantidad]]*Ventas[[#This Row],[Precio]])</f>
        <v>310</v>
      </c>
      <c r="J4256" s="57" t="str">
        <f>IFERROR(+VLOOKUP(Ventas[[#This Row],[Codigo de Producto]],Productos[#All],2,FALSE),"")</f>
        <v>Comasa</v>
      </c>
      <c r="K4256" s="57">
        <f>IFERROR(+VLOOKUP(Ventas[[#This Row],[Codigo de Producto]],Productos[#All],9,FALSE),"")</f>
        <v>127</v>
      </c>
      <c r="M4256" s="57">
        <f t="shared" si="1290"/>
        <v>254</v>
      </c>
      <c r="N4256" s="57">
        <f t="shared" si="1291"/>
        <v>56</v>
      </c>
    </row>
    <row r="4257" spans="1:14" x14ac:dyDescent="0.25">
      <c r="A4257">
        <v>103</v>
      </c>
      <c r="B4257" s="1">
        <v>44172</v>
      </c>
      <c r="C4257" s="57" t="str">
        <f>IF(Ventas[[#This Row],[Fecha ]]="","",+TEXT(B4257,"mmmm"))</f>
        <v>diciembre</v>
      </c>
      <c r="D4257" s="57" t="str">
        <f>IFERROR(+VLOOKUP(Ventas[[#This Row],[Codigo de Producto]],Productos[#All],3,FALSE),"")</f>
        <v>Cerámica</v>
      </c>
      <c r="E4257" t="s">
        <v>696</v>
      </c>
      <c r="F4257" s="57" t="str">
        <f>IFERROR(+VLOOKUP(Ventas[[#This Row],[Codigo de Producto]],Productos[#All],4,FALSE),"")</f>
        <v>Madera Cedro</v>
      </c>
      <c r="G4257">
        <v>3.92</v>
      </c>
      <c r="H4257">
        <v>280</v>
      </c>
      <c r="I4257" s="57">
        <f>IF(Ventas[[#This Row],[Cantidad]]="","",+Ventas[[#This Row],[Cantidad]]*Ventas[[#This Row],[Precio]])</f>
        <v>1097.5999999999999</v>
      </c>
      <c r="J4257" s="57" t="str">
        <f>IFERROR(+VLOOKUP(Ventas[[#This Row],[Codigo de Producto]],Productos[#All],2,FALSE),"")</f>
        <v>Comasa</v>
      </c>
      <c r="K4257" s="57">
        <f>IFERROR(+VLOOKUP(Ventas[[#This Row],[Codigo de Producto]],Productos[#All],9,FALSE),"")</f>
        <v>236</v>
      </c>
      <c r="M4257" s="57">
        <f t="shared" si="1290"/>
        <v>925.12</v>
      </c>
      <c r="N4257" s="57">
        <f t="shared" si="1291"/>
        <v>172.4799999999999</v>
      </c>
    </row>
    <row r="4258" spans="1:14" x14ac:dyDescent="0.25">
      <c r="A4258">
        <v>104</v>
      </c>
      <c r="B4258" s="1">
        <v>44172</v>
      </c>
      <c r="C4258" s="57" t="str">
        <f>IF(Ventas[[#This Row],[Fecha ]]="","",+TEXT(B4258,"mmmm"))</f>
        <v>diciembre</v>
      </c>
      <c r="D4258" s="57" t="str">
        <f>IFERROR(+VLOOKUP(Ventas[[#This Row],[Codigo de Producto]],Productos[#All],3,FALSE),"")</f>
        <v>Bond</v>
      </c>
      <c r="E4258" t="s">
        <v>704</v>
      </c>
      <c r="F4258" s="57" t="str">
        <f>IFERROR(+VLOOKUP(Ventas[[#This Row],[Codigo de Producto]],Productos[#All],4,FALSE),"")</f>
        <v>Drytec Bond Plus</v>
      </c>
      <c r="G4258">
        <v>2</v>
      </c>
      <c r="H4258">
        <v>155</v>
      </c>
      <c r="I4258" s="57">
        <f>IF(Ventas[[#This Row],[Cantidad]]="","",+Ventas[[#This Row],[Cantidad]]*Ventas[[#This Row],[Precio]])</f>
        <v>310</v>
      </c>
      <c r="J4258" s="57" t="str">
        <f>IFERROR(+VLOOKUP(Ventas[[#This Row],[Codigo de Producto]],Productos[#All],2,FALSE),"")</f>
        <v>Comasa</v>
      </c>
      <c r="K4258" s="57">
        <f>IFERROR(+VLOOKUP(Ventas[[#This Row],[Codigo de Producto]],Productos[#All],9,FALSE),"")</f>
        <v>127</v>
      </c>
      <c r="M4258" s="57">
        <f t="shared" ref="M4258:M4270" si="1292">+IF(K4258=0,(""),(K4258*G4258))</f>
        <v>254</v>
      </c>
      <c r="N4258" s="57">
        <f t="shared" si="1291"/>
        <v>56</v>
      </c>
    </row>
    <row r="4259" spans="1:14" x14ac:dyDescent="0.25">
      <c r="A4259">
        <v>105</v>
      </c>
      <c r="B4259" s="1">
        <v>44172</v>
      </c>
      <c r="C4259" s="57" t="str">
        <f>IF(Ventas[[#This Row],[Fecha ]]="","",+TEXT(B4259,"mmmm"))</f>
        <v>diciembre</v>
      </c>
      <c r="D4259" s="57" t="str">
        <f>IFERROR(+VLOOKUP(Ventas[[#This Row],[Codigo de Producto]],Productos[#All],3,FALSE),"")</f>
        <v>Cerámica</v>
      </c>
      <c r="E4259" t="s">
        <v>892</v>
      </c>
      <c r="F4259" s="57" t="str">
        <f>IFERROR(+VLOOKUP(Ventas[[#This Row],[Codigo de Producto]],Productos[#All],4,FALSE),"")</f>
        <v>Babilonia Blanco</v>
      </c>
      <c r="G4259">
        <v>21</v>
      </c>
      <c r="H4259">
        <v>240</v>
      </c>
      <c r="I4259" s="57">
        <f>IF(Ventas[[#This Row],[Cantidad]]="","",+Ventas[[#This Row],[Cantidad]]*Ventas[[#This Row],[Precio]])</f>
        <v>5040</v>
      </c>
      <c r="J4259" s="57" t="str">
        <f>IFERROR(+VLOOKUP(Ventas[[#This Row],[Codigo de Producto]],Productos[#All],2,FALSE),"")</f>
        <v>Comasa</v>
      </c>
      <c r="K4259" s="57">
        <f ca="1">IFERROR(+VLOOKUP(Ventas[[#This Row],[Codigo de Producto]],Productos[#All],9,FALSE),"")</f>
        <v>216.82</v>
      </c>
      <c r="M4259" s="57">
        <f t="shared" ca="1" si="1292"/>
        <v>4553.22</v>
      </c>
      <c r="N4259" s="57">
        <f t="shared" ca="1" si="1291"/>
        <v>486.77999999999975</v>
      </c>
    </row>
    <row r="4260" spans="1:14" x14ac:dyDescent="0.25">
      <c r="A4260">
        <v>106</v>
      </c>
      <c r="B4260" s="1">
        <v>44172</v>
      </c>
      <c r="C4260" s="57" t="str">
        <f>IF(Ventas[[#This Row],[Fecha ]]="","",+TEXT(B4260,"mmmm"))</f>
        <v>diciembre</v>
      </c>
      <c r="D4260" s="57" t="str">
        <f>IFERROR(+VLOOKUP(Ventas[[#This Row],[Codigo de Producto]],Productos[#All],3,FALSE),"")</f>
        <v>Bond</v>
      </c>
      <c r="E4260" t="s">
        <v>704</v>
      </c>
      <c r="F4260" s="57" t="str">
        <f>IFERROR(+VLOOKUP(Ventas[[#This Row],[Codigo de Producto]],Productos[#All],4,FALSE),"")</f>
        <v>Drytec Bond Plus</v>
      </c>
      <c r="G4260">
        <v>4</v>
      </c>
      <c r="H4260">
        <v>155</v>
      </c>
      <c r="I4260" s="57">
        <f>IF(Ventas[[#This Row],[Cantidad]]="","",+Ventas[[#This Row],[Cantidad]]*Ventas[[#This Row],[Precio]])</f>
        <v>620</v>
      </c>
      <c r="J4260" s="57" t="str">
        <f>IFERROR(+VLOOKUP(Ventas[[#This Row],[Codigo de Producto]],Productos[#All],2,FALSE),"")</f>
        <v>Comasa</v>
      </c>
      <c r="K4260" s="57">
        <f>IFERROR(+VLOOKUP(Ventas[[#This Row],[Codigo de Producto]],Productos[#All],9,FALSE),"")</f>
        <v>127</v>
      </c>
      <c r="M4260" s="57">
        <f t="shared" si="1292"/>
        <v>508</v>
      </c>
      <c r="N4260" s="57">
        <f t="shared" si="1291"/>
        <v>112</v>
      </c>
    </row>
    <row r="4261" spans="1:14" x14ac:dyDescent="0.25">
      <c r="A4261">
        <v>107</v>
      </c>
      <c r="B4261" s="1">
        <v>44172</v>
      </c>
      <c r="C4261" s="57" t="str">
        <f>IF(Ventas[[#This Row],[Fecha ]]="","",+TEXT(B4261,"mmmm"))</f>
        <v>diciembre</v>
      </c>
      <c r="D4261" s="57" t="str">
        <f>IFERROR(+VLOOKUP(Ventas[[#This Row],[Codigo de Producto]],Productos[#All],3,FALSE),"")</f>
        <v>Cerámica</v>
      </c>
      <c r="E4261" t="s">
        <v>892</v>
      </c>
      <c r="F4261" s="57" t="str">
        <f>IFERROR(+VLOOKUP(Ventas[[#This Row],[Codigo de Producto]],Productos[#All],4,FALSE),"")</f>
        <v>Babilonia Blanco</v>
      </c>
      <c r="G4261">
        <v>14</v>
      </c>
      <c r="H4261" s="8">
        <v>270</v>
      </c>
      <c r="I4261" s="57">
        <f>IF(Ventas[[#This Row],[Cantidad]]="","",+Ventas[[#This Row],[Cantidad]]*Ventas[[#This Row],[Precio]])</f>
        <v>3780</v>
      </c>
      <c r="J4261" s="57" t="str">
        <f>IFERROR(+VLOOKUP(Ventas[[#This Row],[Codigo de Producto]],Productos[#All],2,FALSE),"")</f>
        <v>Comasa</v>
      </c>
      <c r="K4261" s="57">
        <f ca="1">IFERROR(+VLOOKUP(Ventas[[#This Row],[Codigo de Producto]],Productos[#All],9,FALSE),"")</f>
        <v>216.82</v>
      </c>
      <c r="M4261" s="57">
        <f t="shared" ca="1" si="1292"/>
        <v>3035.48</v>
      </c>
      <c r="N4261" s="57">
        <f t="shared" ca="1" si="1291"/>
        <v>744.52</v>
      </c>
    </row>
    <row r="4262" spans="1:14" x14ac:dyDescent="0.25">
      <c r="A4262">
        <v>108</v>
      </c>
      <c r="B4262" s="1">
        <v>44172</v>
      </c>
      <c r="C4262" s="57" t="str">
        <f>IF(Ventas[[#This Row],[Fecha ]]="","",+TEXT(B4262,"mmmm"))</f>
        <v>diciembre</v>
      </c>
      <c r="D4262" s="57" t="str">
        <f>IFERROR(+VLOOKUP(Ventas[[#This Row],[Codigo de Producto]],Productos[#All],3,FALSE),"")</f>
        <v>Bond</v>
      </c>
      <c r="E4262" t="s">
        <v>888</v>
      </c>
      <c r="F4262" s="57" t="str">
        <f>IFERROR(+VLOOKUP(Ventas[[#This Row],[Codigo de Producto]],Productos[#All],4,FALSE),"")</f>
        <v>Diamond Bond Plus</v>
      </c>
      <c r="G4262">
        <v>5</v>
      </c>
      <c r="H4262">
        <v>120</v>
      </c>
      <c r="I4262" s="57">
        <f>IF(Ventas[[#This Row],[Cantidad]]="","",+Ventas[[#This Row],[Cantidad]]*Ventas[[#This Row],[Precio]])</f>
        <v>600</v>
      </c>
      <c r="J4262" s="57" t="str">
        <f>IFERROR(+VLOOKUP(Ventas[[#This Row],[Codigo de Producto]],Productos[#All],2,FALSE),"")</f>
        <v>Martinez</v>
      </c>
      <c r="K4262" s="57">
        <f>IFERROR(+VLOOKUP(Ventas[[#This Row],[Codigo de Producto]],Productos[#All],9,FALSE),"")</f>
        <v>34</v>
      </c>
      <c r="M4262" s="57">
        <f t="shared" si="1292"/>
        <v>170</v>
      </c>
      <c r="N4262" s="57">
        <f t="shared" si="1291"/>
        <v>430</v>
      </c>
    </row>
    <row r="4263" spans="1:14" x14ac:dyDescent="0.25">
      <c r="A4263">
        <v>109</v>
      </c>
      <c r="B4263" s="1">
        <v>44172</v>
      </c>
      <c r="C4263" s="57" t="str">
        <f>IF(Ventas[[#This Row],[Fecha ]]="","",+TEXT(B4263,"mmmm"))</f>
        <v>diciembre</v>
      </c>
      <c r="D4263" s="57" t="str">
        <f>IFERROR(+VLOOKUP(Ventas[[#This Row],[Codigo de Producto]],Productos[#All],3,FALSE),"")</f>
        <v>Separadores</v>
      </c>
      <c r="E4263" t="s">
        <v>720</v>
      </c>
      <c r="F4263" s="57" t="str">
        <f>IFERROR(+VLOOKUP(Ventas[[#This Row],[Codigo de Producto]],Productos[#All],4,FALSE),"")</f>
        <v>Separadores de 3 mm</v>
      </c>
      <c r="G4263">
        <v>1</v>
      </c>
      <c r="H4263">
        <v>35</v>
      </c>
      <c r="I4263" s="57">
        <f>IF(Ventas[[#This Row],[Cantidad]]="","",+Ventas[[#This Row],[Cantidad]]*Ventas[[#This Row],[Precio]])</f>
        <v>35</v>
      </c>
      <c r="J4263" s="57" t="str">
        <f>IFERROR(+VLOOKUP(Ventas[[#This Row],[Codigo de Producto]],Productos[#All],2,FALSE),"")</f>
        <v>Silco</v>
      </c>
      <c r="K4263" s="57">
        <f>IFERROR(+VLOOKUP(Ventas[[#This Row],[Codigo de Producto]],Productos[#All],9,FALSE),"")</f>
        <v>26</v>
      </c>
      <c r="M4263" s="57">
        <f t="shared" si="1292"/>
        <v>26</v>
      </c>
      <c r="N4263" s="57">
        <f t="shared" si="1291"/>
        <v>9</v>
      </c>
    </row>
    <row r="4264" spans="1:14" x14ac:dyDescent="0.25">
      <c r="A4264">
        <v>110</v>
      </c>
      <c r="B4264" s="1">
        <v>44172</v>
      </c>
      <c r="C4264" s="57" t="str">
        <f>IF(Ventas[[#This Row],[Fecha ]]="","",+TEXT(B4264,"mmmm"))</f>
        <v>diciembre</v>
      </c>
      <c r="D4264" s="57" t="str">
        <f>IFERROR(+VLOOKUP(Ventas[[#This Row],[Codigo de Producto]],Productos[#All],3,FALSE),"")</f>
        <v>Porcelana</v>
      </c>
      <c r="E4264" t="s">
        <v>708</v>
      </c>
      <c r="F4264" s="57" t="str">
        <f>IFERROR(+VLOOKUP(Ventas[[#This Row],[Codigo de Producto]],Productos[#All],4,FALSE),"")</f>
        <v xml:space="preserve">Porcelana Maya </v>
      </c>
      <c r="G4264">
        <v>3</v>
      </c>
      <c r="H4264">
        <v>60</v>
      </c>
      <c r="I4264" s="57">
        <f>IF(Ventas[[#This Row],[Cantidad]]="","",+Ventas[[#This Row],[Cantidad]]*Ventas[[#This Row],[Precio]])</f>
        <v>180</v>
      </c>
      <c r="J4264" s="57" t="str">
        <f>IFERROR(+VLOOKUP(Ventas[[#This Row],[Codigo de Producto]],Productos[#All],2,FALSE),"")</f>
        <v>Martinez</v>
      </c>
      <c r="K4264" s="57">
        <f>IFERROR(+VLOOKUP(Ventas[[#This Row],[Codigo de Producto]],Productos[#All],9,FALSE),"")</f>
        <v>33.333333333333336</v>
      </c>
      <c r="M4264" s="57">
        <f t="shared" si="1292"/>
        <v>100</v>
      </c>
      <c r="N4264" s="57">
        <f t="shared" si="1291"/>
        <v>80</v>
      </c>
    </row>
    <row r="4265" spans="1:14" x14ac:dyDescent="0.25">
      <c r="A4265">
        <v>111</v>
      </c>
      <c r="B4265" s="1">
        <v>44172</v>
      </c>
      <c r="C4265" s="57" t="str">
        <f>IF(Ventas[[#This Row],[Fecha ]]="","",+TEXT(B4265,"mmmm"))</f>
        <v>diciembre</v>
      </c>
      <c r="D4265" s="57" t="str">
        <f>IFERROR(+VLOOKUP(Ventas[[#This Row],[Codigo de Producto]],Productos[#All],3,FALSE),"")</f>
        <v>Cerámica</v>
      </c>
      <c r="E4265" t="s">
        <v>901</v>
      </c>
      <c r="F4265" s="57" t="str">
        <f>IFERROR(+VLOOKUP(Ventas[[#This Row],[Codigo de Producto]],Productos[#All],4,FALSE),"")</f>
        <v>722 Azul</v>
      </c>
      <c r="G4265">
        <v>14</v>
      </c>
      <c r="H4265">
        <v>240</v>
      </c>
      <c r="I4265" s="57">
        <f>IF(Ventas[[#This Row],[Cantidad]]="","",+Ventas[[#This Row],[Cantidad]]*Ventas[[#This Row],[Precio]])</f>
        <v>3360</v>
      </c>
      <c r="J4265" s="57" t="str">
        <f>IFERROR(+VLOOKUP(Ventas[[#This Row],[Codigo de Producto]],Productos[#All],2,FALSE),"")</f>
        <v>Dispiasa</v>
      </c>
      <c r="K4265" s="57">
        <f ca="1">IFERROR(+VLOOKUP(Ventas[[#This Row],[Codigo de Producto]],Productos[#All],9,FALSE),"")</f>
        <v>207</v>
      </c>
      <c r="M4265" s="57">
        <f t="shared" ca="1" si="1292"/>
        <v>2898</v>
      </c>
      <c r="N4265" s="57">
        <f t="shared" ca="1" si="1291"/>
        <v>462</v>
      </c>
    </row>
    <row r="4266" spans="1:14" x14ac:dyDescent="0.25">
      <c r="A4266">
        <v>112</v>
      </c>
      <c r="B4266" s="1">
        <v>44172</v>
      </c>
      <c r="C4266" s="57" t="str">
        <f>IF(Ventas[[#This Row],[Fecha ]]="","",+TEXT(B4266,"mmmm"))</f>
        <v>diciembre</v>
      </c>
      <c r="D4266" s="57" t="str">
        <f>IFERROR(+VLOOKUP(Ventas[[#This Row],[Codigo de Producto]],Productos[#All],3,FALSE),"")</f>
        <v>Porcelana</v>
      </c>
      <c r="E4266" t="s">
        <v>708</v>
      </c>
      <c r="F4266" s="57" t="str">
        <f>IFERROR(+VLOOKUP(Ventas[[#This Row],[Codigo de Producto]],Productos[#All],4,FALSE),"")</f>
        <v xml:space="preserve">Porcelana Maya </v>
      </c>
      <c r="G4266">
        <v>2</v>
      </c>
      <c r="H4266">
        <v>60</v>
      </c>
      <c r="I4266" s="57">
        <f>IF(Ventas[[#This Row],[Cantidad]]="","",+Ventas[[#This Row],[Cantidad]]*Ventas[[#This Row],[Precio]])</f>
        <v>120</v>
      </c>
      <c r="J4266" s="57" t="str">
        <f>IFERROR(+VLOOKUP(Ventas[[#This Row],[Codigo de Producto]],Productos[#All],2,FALSE),"")</f>
        <v>Martinez</v>
      </c>
      <c r="K4266" s="57">
        <f>IFERROR(+VLOOKUP(Ventas[[#This Row],[Codigo de Producto]],Productos[#All],9,FALSE),"")</f>
        <v>33.333333333333336</v>
      </c>
      <c r="M4266" s="57">
        <f t="shared" si="1292"/>
        <v>66.666666666666671</v>
      </c>
      <c r="N4266" s="57">
        <f t="shared" si="1291"/>
        <v>53.333333333333329</v>
      </c>
    </row>
    <row r="4267" spans="1:14" x14ac:dyDescent="0.25">
      <c r="A4267">
        <v>113</v>
      </c>
      <c r="B4267" s="1">
        <v>44172</v>
      </c>
      <c r="C4267" s="57" t="str">
        <f>IF(Ventas[[#This Row],[Fecha ]]="","",+TEXT(B4267,"mmmm"))</f>
        <v>diciembre</v>
      </c>
      <c r="D4267" s="57" t="str">
        <f>IFERROR(+VLOOKUP(Ventas[[#This Row],[Codigo de Producto]],Productos[#All],3,FALSE),"")</f>
        <v>Separadores</v>
      </c>
      <c r="E4267" t="s">
        <v>722</v>
      </c>
      <c r="F4267" s="57" t="str">
        <f>IFERROR(+VLOOKUP(Ventas[[#This Row],[Codigo de Producto]],Productos[#All],4,FALSE),"")</f>
        <v>Separadores de 5 mm</v>
      </c>
      <c r="G4267">
        <v>1</v>
      </c>
      <c r="H4267">
        <v>35</v>
      </c>
      <c r="I4267" s="57">
        <f>IF(Ventas[[#This Row],[Cantidad]]="","",+Ventas[[#This Row],[Cantidad]]*Ventas[[#This Row],[Precio]])</f>
        <v>35</v>
      </c>
      <c r="J4267" s="57" t="str">
        <f>IFERROR(+VLOOKUP(Ventas[[#This Row],[Codigo de Producto]],Productos[#All],2,FALSE),"")</f>
        <v>Silco</v>
      </c>
      <c r="K4267" s="57">
        <f>IFERROR(+VLOOKUP(Ventas[[#This Row],[Codigo de Producto]],Productos[#All],9,FALSE),"")</f>
        <v>22</v>
      </c>
      <c r="M4267" s="57">
        <f t="shared" si="1292"/>
        <v>22</v>
      </c>
      <c r="N4267" s="57">
        <f t="shared" si="1291"/>
        <v>13</v>
      </c>
    </row>
    <row r="4268" spans="1:14" x14ac:dyDescent="0.25">
      <c r="A4268">
        <v>114</v>
      </c>
      <c r="B4268" s="1">
        <v>44172</v>
      </c>
      <c r="C4268" s="57" t="str">
        <f>IF(Ventas[[#This Row],[Fecha ]]="","",+TEXT(B4268,"mmmm"))</f>
        <v>diciembre</v>
      </c>
      <c r="D4268" s="57" t="str">
        <f>IFERROR(+VLOOKUP(Ventas[[#This Row],[Codigo de Producto]],Productos[#All],3,FALSE),"")</f>
        <v>Azulejos</v>
      </c>
      <c r="E4268" t="s">
        <v>642</v>
      </c>
      <c r="F4268" s="57" t="str">
        <f>IFERROR(+VLOOKUP(Ventas[[#This Row],[Codigo de Producto]],Productos[#All],4,FALSE),"")</f>
        <v>722 Marrón</v>
      </c>
      <c r="G4268">
        <v>2</v>
      </c>
      <c r="H4268">
        <v>270</v>
      </c>
      <c r="I4268" s="57">
        <f>IF(Ventas[[#This Row],[Cantidad]]="","",+Ventas[[#This Row],[Cantidad]]*Ventas[[#This Row],[Precio]])</f>
        <v>540</v>
      </c>
      <c r="J4268" s="57" t="str">
        <f>IFERROR(+VLOOKUP(Ventas[[#This Row],[Codigo de Producto]],Productos[#All],2,FALSE),"")</f>
        <v>Dispiasa</v>
      </c>
      <c r="K4268" s="57">
        <f>IFERROR(+VLOOKUP(Ventas[[#This Row],[Codigo de Producto]],Productos[#All],9,FALSE),"")</f>
        <v>207</v>
      </c>
      <c r="M4268" s="57">
        <f t="shared" si="1292"/>
        <v>414</v>
      </c>
      <c r="N4268" s="57">
        <f t="shared" si="1291"/>
        <v>126</v>
      </c>
    </row>
    <row r="4269" spans="1:14" x14ac:dyDescent="0.25">
      <c r="A4269">
        <v>115</v>
      </c>
      <c r="B4269" s="1">
        <v>44172</v>
      </c>
      <c r="C4269" s="57" t="str">
        <f>IF(Ventas[[#This Row],[Fecha ]]="","",+TEXT(B4269,"mmmm"))</f>
        <v>diciembre</v>
      </c>
      <c r="D4269" s="57" t="str">
        <f>IFERROR(+VLOOKUP(Ventas[[#This Row],[Codigo de Producto]],Productos[#All],3,FALSE),"")</f>
        <v>Bond</v>
      </c>
      <c r="E4269" t="s">
        <v>704</v>
      </c>
      <c r="F4269" s="57" t="str">
        <f>IFERROR(+VLOOKUP(Ventas[[#This Row],[Codigo de Producto]],Productos[#All],4,FALSE),"")</f>
        <v>Drytec Bond Plus</v>
      </c>
      <c r="G4269">
        <v>2</v>
      </c>
      <c r="H4269">
        <v>155</v>
      </c>
      <c r="I4269" s="57">
        <f>IF(Ventas[[#This Row],[Cantidad]]="","",+Ventas[[#This Row],[Cantidad]]*Ventas[[#This Row],[Precio]])</f>
        <v>310</v>
      </c>
      <c r="J4269" s="57" t="str">
        <f>IFERROR(+VLOOKUP(Ventas[[#This Row],[Codigo de Producto]],Productos[#All],2,FALSE),"")</f>
        <v>Comasa</v>
      </c>
      <c r="K4269" s="57">
        <f>IFERROR(+VLOOKUP(Ventas[[#This Row],[Codigo de Producto]],Productos[#All],9,FALSE),"")</f>
        <v>127</v>
      </c>
      <c r="M4269" s="57">
        <f t="shared" si="1292"/>
        <v>254</v>
      </c>
      <c r="N4269" s="57">
        <f t="shared" si="1291"/>
        <v>56</v>
      </c>
    </row>
    <row r="4270" spans="1:14" x14ac:dyDescent="0.25">
      <c r="A4270">
        <v>116</v>
      </c>
      <c r="B4270" s="1">
        <v>44172</v>
      </c>
      <c r="C4270" s="57" t="str">
        <f>IF(Ventas[[#This Row],[Fecha ]]="","",+TEXT(B4270,"mmmm"))</f>
        <v>diciembre</v>
      </c>
      <c r="D4270" s="57" t="str">
        <f>IFERROR(+VLOOKUP(Ventas[[#This Row],[Codigo de Producto]],Productos[#All],3,FALSE),"")</f>
        <v>Porcelana</v>
      </c>
      <c r="E4270" t="s">
        <v>708</v>
      </c>
      <c r="F4270" s="57" t="str">
        <f>IFERROR(+VLOOKUP(Ventas[[#This Row],[Codigo de Producto]],Productos[#All],4,FALSE),"")</f>
        <v xml:space="preserve">Porcelana Maya </v>
      </c>
      <c r="G4270">
        <v>1</v>
      </c>
      <c r="H4270">
        <v>60</v>
      </c>
      <c r="I4270" s="57">
        <f>IF(Ventas[[#This Row],[Cantidad]]="","",+Ventas[[#This Row],[Cantidad]]*Ventas[[#This Row],[Precio]])</f>
        <v>60</v>
      </c>
      <c r="J4270" s="57" t="str">
        <f>IFERROR(+VLOOKUP(Ventas[[#This Row],[Codigo de Producto]],Productos[#All],2,FALSE),"")</f>
        <v>Martinez</v>
      </c>
      <c r="K4270" s="57">
        <f>IFERROR(+VLOOKUP(Ventas[[#This Row],[Codigo de Producto]],Productos[#All],9,FALSE),"")</f>
        <v>33.333333333333336</v>
      </c>
      <c r="M4270" s="57">
        <f t="shared" si="1292"/>
        <v>33.333333333333336</v>
      </c>
      <c r="N4270" s="57">
        <f t="shared" si="1291"/>
        <v>26.666666666666664</v>
      </c>
    </row>
    <row r="4271" spans="1:14" x14ac:dyDescent="0.25">
      <c r="A4271">
        <v>117</v>
      </c>
      <c r="B4271" s="1">
        <v>44172</v>
      </c>
      <c r="C4271" s="57" t="str">
        <f>IF(Ventas[[#This Row],[Fecha ]]="","",+TEXT(B4271,"mmmm"))</f>
        <v>diciembre</v>
      </c>
      <c r="D4271" s="57" t="str">
        <f>IFERROR(+VLOOKUP(Ventas[[#This Row],[Codigo de Producto]],Productos[#All],3,FALSE),"")</f>
        <v>Cerámica</v>
      </c>
      <c r="E4271" t="s">
        <v>901</v>
      </c>
      <c r="F4271" s="57" t="str">
        <f>IFERROR(+VLOOKUP(Ventas[[#This Row],[Codigo de Producto]],Productos[#All],4,FALSE),"")</f>
        <v>722 Azul</v>
      </c>
      <c r="G4271">
        <v>3</v>
      </c>
      <c r="H4271">
        <v>240</v>
      </c>
      <c r="I4271" s="57">
        <f>IF(Ventas[[#This Row],[Cantidad]]="","",+Ventas[[#This Row],[Cantidad]]*Ventas[[#This Row],[Precio]])</f>
        <v>720</v>
      </c>
      <c r="J4271" s="57" t="str">
        <f>IFERROR(+VLOOKUP(Ventas[[#This Row],[Codigo de Producto]],Productos[#All],2,FALSE),"")</f>
        <v>Dispiasa</v>
      </c>
      <c r="K4271" s="57">
        <f ca="1">IFERROR(+VLOOKUP(Ventas[[#This Row],[Codigo de Producto]],Productos[#All],9,FALSE),"")</f>
        <v>207</v>
      </c>
      <c r="M4271" s="57">
        <f t="shared" ref="M4271:M4282" ca="1" si="1293">+IF(K4271=0,(""),(K4271*G4271))</f>
        <v>621</v>
      </c>
      <c r="N4271" s="57">
        <f t="shared" ca="1" si="1291"/>
        <v>99</v>
      </c>
    </row>
    <row r="4272" spans="1:14" x14ac:dyDescent="0.25">
      <c r="A4272">
        <v>118</v>
      </c>
      <c r="B4272" s="1">
        <v>44172</v>
      </c>
      <c r="C4272" s="57" t="str">
        <f>IF(Ventas[[#This Row],[Fecha ]]="","",+TEXT(B4272,"mmmm"))</f>
        <v>diciembre</v>
      </c>
      <c r="D4272" s="57" t="str">
        <f>IFERROR(+VLOOKUP(Ventas[[#This Row],[Codigo de Producto]],Productos[#All],3,FALSE),"")</f>
        <v>Cerámica</v>
      </c>
      <c r="E4272" t="s">
        <v>696</v>
      </c>
      <c r="F4272" s="57" t="str">
        <f>IFERROR(+VLOOKUP(Ventas[[#This Row],[Codigo de Producto]],Productos[#All],4,FALSE),"")</f>
        <v>Madera Cedro</v>
      </c>
      <c r="G4272">
        <f>2/10*2.31</f>
        <v>0.46200000000000002</v>
      </c>
      <c r="H4272">
        <v>280</v>
      </c>
      <c r="I4272" s="57">
        <f>IF(Ventas[[#This Row],[Cantidad]]="","",+Ventas[[#This Row],[Cantidad]]*Ventas[[#This Row],[Precio]])</f>
        <v>129.36000000000001</v>
      </c>
      <c r="J4272" s="57" t="str">
        <f>IFERROR(+VLOOKUP(Ventas[[#This Row],[Codigo de Producto]],Productos[#All],2,FALSE),"")</f>
        <v>Comasa</v>
      </c>
      <c r="K4272" s="57">
        <f>IFERROR(+VLOOKUP(Ventas[[#This Row],[Codigo de Producto]],Productos[#All],9,FALSE),"")</f>
        <v>236</v>
      </c>
      <c r="M4272" s="57">
        <f t="shared" si="1293"/>
        <v>109.03200000000001</v>
      </c>
      <c r="N4272" s="57">
        <f t="shared" si="1291"/>
        <v>20.328000000000003</v>
      </c>
    </row>
    <row r="4273" spans="1:14" x14ac:dyDescent="0.25">
      <c r="A4273">
        <v>119</v>
      </c>
      <c r="B4273" s="1">
        <v>44172</v>
      </c>
      <c r="C4273" s="57" t="str">
        <f>IF(Ventas[[#This Row],[Fecha ]]="","",+TEXT(B4273,"mmmm"))</f>
        <v>diciembre</v>
      </c>
      <c r="D4273" s="57" t="str">
        <f>IFERROR(+VLOOKUP(Ventas[[#This Row],[Codigo de Producto]],Productos[#All],3,FALSE),"")</f>
        <v>Cerámica</v>
      </c>
      <c r="E4273" t="s">
        <v>869</v>
      </c>
      <c r="F4273" s="57" t="str">
        <f>IFERROR(+VLOOKUP(Ventas[[#This Row],[Codigo de Producto]],Productos[#All],4,FALSE),"")</f>
        <v>Omega Madera</v>
      </c>
      <c r="G4273">
        <v>3</v>
      </c>
      <c r="H4273">
        <v>300</v>
      </c>
      <c r="I4273" s="57">
        <f>IF(Ventas[[#This Row],[Cantidad]]="","",+Ventas[[#This Row],[Cantidad]]*Ventas[[#This Row],[Precio]])</f>
        <v>900</v>
      </c>
      <c r="J4273" s="57" t="str">
        <f>IFERROR(+VLOOKUP(Ventas[[#This Row],[Codigo de Producto]],Productos[#All],2,FALSE),"")</f>
        <v>Comasa</v>
      </c>
      <c r="K4273" s="57">
        <f ca="1">IFERROR(+VLOOKUP(Ventas[[#This Row],[Codigo de Producto]],Productos[#All],9,FALSE),"")</f>
        <v>248</v>
      </c>
      <c r="M4273" s="57">
        <f t="shared" ca="1" si="1293"/>
        <v>744</v>
      </c>
      <c r="N4273" s="57">
        <f t="shared" ca="1" si="1291"/>
        <v>156</v>
      </c>
    </row>
    <row r="4274" spans="1:14" x14ac:dyDescent="0.25">
      <c r="A4274">
        <v>120</v>
      </c>
      <c r="B4274" s="1">
        <v>44172</v>
      </c>
      <c r="C4274" s="57" t="str">
        <f>IF(Ventas[[#This Row],[Fecha ]]="","",+TEXT(B4274,"mmmm"))</f>
        <v>diciembre</v>
      </c>
      <c r="D4274" s="57" t="str">
        <f>IFERROR(+VLOOKUP(Ventas[[#This Row],[Codigo de Producto]],Productos[#All],3,FALSE),"")</f>
        <v>Bond</v>
      </c>
      <c r="E4274" t="s">
        <v>888</v>
      </c>
      <c r="F4274" s="57" t="str">
        <f>IFERROR(+VLOOKUP(Ventas[[#This Row],[Codigo de Producto]],Productos[#All],4,FALSE),"")</f>
        <v>Diamond Bond Plus</v>
      </c>
      <c r="G4274">
        <v>2</v>
      </c>
      <c r="H4274">
        <v>120</v>
      </c>
      <c r="I4274" s="57">
        <f>IF(Ventas[[#This Row],[Cantidad]]="","",+Ventas[[#This Row],[Cantidad]]*Ventas[[#This Row],[Precio]])</f>
        <v>240</v>
      </c>
      <c r="J4274" s="57" t="str">
        <f>IFERROR(+VLOOKUP(Ventas[[#This Row],[Codigo de Producto]],Productos[#All],2,FALSE),"")</f>
        <v>Martinez</v>
      </c>
      <c r="K4274" s="57">
        <f>IFERROR(+VLOOKUP(Ventas[[#This Row],[Codigo de Producto]],Productos[#All],9,FALSE),"")</f>
        <v>34</v>
      </c>
      <c r="M4274" s="57">
        <f t="shared" si="1293"/>
        <v>68</v>
      </c>
      <c r="N4274" s="57">
        <f t="shared" si="1291"/>
        <v>172</v>
      </c>
    </row>
    <row r="4275" spans="1:14" x14ac:dyDescent="0.25">
      <c r="A4275">
        <v>121</v>
      </c>
      <c r="B4275" s="1">
        <v>44172</v>
      </c>
      <c r="C4275" s="57" t="str">
        <f>IF(Ventas[[#This Row],[Fecha ]]="","",+TEXT(B4275,"mmmm"))</f>
        <v>diciembre</v>
      </c>
      <c r="D4275" s="57" t="str">
        <f>IFERROR(+VLOOKUP(Ventas[[#This Row],[Codigo de Producto]],Productos[#All],3,FALSE),"")</f>
        <v>Porcelana</v>
      </c>
      <c r="E4275" t="s">
        <v>708</v>
      </c>
      <c r="F4275" s="57" t="str">
        <f>IFERROR(+VLOOKUP(Ventas[[#This Row],[Codigo de Producto]],Productos[#All],4,FALSE),"")</f>
        <v xml:space="preserve">Porcelana Maya </v>
      </c>
      <c r="G4275">
        <v>1</v>
      </c>
      <c r="H4275">
        <v>60</v>
      </c>
      <c r="I4275" s="57">
        <f>IF(Ventas[[#This Row],[Cantidad]]="","",+Ventas[[#This Row],[Cantidad]]*Ventas[[#This Row],[Precio]])</f>
        <v>60</v>
      </c>
      <c r="J4275" s="57" t="str">
        <f>IFERROR(+VLOOKUP(Ventas[[#This Row],[Codigo de Producto]],Productos[#All],2,FALSE),"")</f>
        <v>Martinez</v>
      </c>
      <c r="K4275" s="57">
        <f>IFERROR(+VLOOKUP(Ventas[[#This Row],[Codigo de Producto]],Productos[#All],9,FALSE),"")</f>
        <v>33.333333333333336</v>
      </c>
      <c r="M4275" s="57">
        <f t="shared" si="1293"/>
        <v>33.333333333333336</v>
      </c>
      <c r="N4275" s="57">
        <f t="shared" si="1291"/>
        <v>26.666666666666664</v>
      </c>
    </row>
    <row r="4276" spans="1:14" x14ac:dyDescent="0.25">
      <c r="A4276">
        <v>122</v>
      </c>
      <c r="B4276" s="1">
        <v>44172</v>
      </c>
      <c r="C4276" s="57" t="str">
        <f>IF(Ventas[[#This Row],[Fecha ]]="","",+TEXT(B4276,"mmmm"))</f>
        <v>diciembre</v>
      </c>
      <c r="D4276" s="57" t="str">
        <f>IFERROR(+VLOOKUP(Ventas[[#This Row],[Codigo de Producto]],Productos[#All],3,FALSE),"")</f>
        <v>Cerámica</v>
      </c>
      <c r="E4276" t="s">
        <v>901</v>
      </c>
      <c r="F4276" s="57" t="str">
        <f>IFERROR(+VLOOKUP(Ventas[[#This Row],[Codigo de Producto]],Productos[#All],4,FALSE),"")</f>
        <v>722 Azul</v>
      </c>
      <c r="G4276">
        <v>25</v>
      </c>
      <c r="H4276">
        <v>240</v>
      </c>
      <c r="I4276" s="57">
        <f>IF(Ventas[[#This Row],[Cantidad]]="","",+Ventas[[#This Row],[Cantidad]]*Ventas[[#This Row],[Precio]])</f>
        <v>6000</v>
      </c>
      <c r="J4276" s="57" t="str">
        <f>IFERROR(+VLOOKUP(Ventas[[#This Row],[Codigo de Producto]],Productos[#All],2,FALSE),"")</f>
        <v>Dispiasa</v>
      </c>
      <c r="K4276" s="57">
        <f ca="1">IFERROR(+VLOOKUP(Ventas[[#This Row],[Codigo de Producto]],Productos[#All],9,FALSE),"")</f>
        <v>207</v>
      </c>
      <c r="M4276" s="57">
        <f t="shared" ca="1" si="1293"/>
        <v>5175</v>
      </c>
      <c r="N4276" s="57">
        <f t="shared" ca="1" si="1291"/>
        <v>825</v>
      </c>
    </row>
    <row r="4277" spans="1:14" x14ac:dyDescent="0.25">
      <c r="A4277">
        <v>123</v>
      </c>
      <c r="B4277" s="1">
        <v>44172</v>
      </c>
      <c r="C4277" s="57" t="str">
        <f>IF(Ventas[[#This Row],[Fecha ]]="","",+TEXT(B4277,"mmmm"))</f>
        <v>diciembre</v>
      </c>
      <c r="D4277" s="57" t="str">
        <f>IFERROR(+VLOOKUP(Ventas[[#This Row],[Codigo de Producto]],Productos[#All],3,FALSE),"")</f>
        <v>Bond</v>
      </c>
      <c r="E4277" t="s">
        <v>888</v>
      </c>
      <c r="F4277" s="57" t="str">
        <f>IFERROR(+VLOOKUP(Ventas[[#This Row],[Codigo de Producto]],Productos[#All],4,FALSE),"")</f>
        <v>Diamond Bond Plus</v>
      </c>
      <c r="G4277">
        <v>8</v>
      </c>
      <c r="H4277">
        <v>120</v>
      </c>
      <c r="I4277" s="57">
        <f>IF(Ventas[[#This Row],[Cantidad]]="","",+Ventas[[#This Row],[Cantidad]]*Ventas[[#This Row],[Precio]])</f>
        <v>960</v>
      </c>
      <c r="J4277" s="57" t="str">
        <f>IFERROR(+VLOOKUP(Ventas[[#This Row],[Codigo de Producto]],Productos[#All],2,FALSE),"")</f>
        <v>Martinez</v>
      </c>
      <c r="K4277" s="57">
        <f>IFERROR(+VLOOKUP(Ventas[[#This Row],[Codigo de Producto]],Productos[#All],9,FALSE),"")</f>
        <v>34</v>
      </c>
      <c r="M4277" s="57">
        <f t="shared" si="1293"/>
        <v>272</v>
      </c>
      <c r="N4277" s="57">
        <f t="shared" si="1291"/>
        <v>688</v>
      </c>
    </row>
    <row r="4278" spans="1:14" x14ac:dyDescent="0.25">
      <c r="A4278">
        <v>124</v>
      </c>
      <c r="B4278" s="1">
        <v>44172</v>
      </c>
      <c r="C4278" s="57" t="str">
        <f>IF(Ventas[[#This Row],[Fecha ]]="","",+TEXT(B4278,"mmmm"))</f>
        <v>diciembre</v>
      </c>
      <c r="D4278" s="57" t="str">
        <f>IFERROR(+VLOOKUP(Ventas[[#This Row],[Codigo de Producto]],Productos[#All],3,FALSE),"")</f>
        <v>Porcelana</v>
      </c>
      <c r="E4278" t="s">
        <v>708</v>
      </c>
      <c r="F4278" s="57" t="str">
        <f>IFERROR(+VLOOKUP(Ventas[[#This Row],[Codigo de Producto]],Productos[#All],4,FALSE),"")</f>
        <v xml:space="preserve">Porcelana Maya </v>
      </c>
      <c r="G4278">
        <v>5</v>
      </c>
      <c r="H4278">
        <v>60</v>
      </c>
      <c r="I4278" s="57">
        <f>IF(Ventas[[#This Row],[Cantidad]]="","",+Ventas[[#This Row],[Cantidad]]*Ventas[[#This Row],[Precio]])</f>
        <v>300</v>
      </c>
      <c r="J4278" s="57" t="str">
        <f>IFERROR(+VLOOKUP(Ventas[[#This Row],[Codigo de Producto]],Productos[#All],2,FALSE),"")</f>
        <v>Martinez</v>
      </c>
      <c r="K4278" s="57">
        <f>IFERROR(+VLOOKUP(Ventas[[#This Row],[Codigo de Producto]],Productos[#All],9,FALSE),"")</f>
        <v>33.333333333333336</v>
      </c>
      <c r="M4278" s="57">
        <f t="shared" si="1293"/>
        <v>166.66666666666669</v>
      </c>
      <c r="N4278" s="57">
        <f t="shared" si="1291"/>
        <v>133.33333333333331</v>
      </c>
    </row>
    <row r="4279" spans="1:14" x14ac:dyDescent="0.25">
      <c r="A4279">
        <v>125</v>
      </c>
      <c r="B4279" s="1">
        <v>44172</v>
      </c>
      <c r="C4279" s="57" t="str">
        <f>IF(Ventas[[#This Row],[Fecha ]]="","",+TEXT(B4279,"mmmm"))</f>
        <v>diciembre</v>
      </c>
      <c r="D4279" s="57" t="str">
        <f>IFERROR(+VLOOKUP(Ventas[[#This Row],[Codigo de Producto]],Productos[#All],3,FALSE),"")</f>
        <v>Inodoro</v>
      </c>
      <c r="E4279" t="s">
        <v>875</v>
      </c>
      <c r="F4279" s="57" t="str">
        <f>IFERROR(+VLOOKUP(Ventas[[#This Row],[Codigo de Producto]],Productos[#All],4,FALSE),"")</f>
        <v>Inodoro Ecoline Verde Tropical</v>
      </c>
      <c r="G4279">
        <v>1</v>
      </c>
      <c r="H4279">
        <v>1950</v>
      </c>
      <c r="I4279" s="57">
        <f>IF(Ventas[[#This Row],[Cantidad]]="","",+Ventas[[#This Row],[Cantidad]]*Ventas[[#This Row],[Precio]])</f>
        <v>1950</v>
      </c>
      <c r="J4279" s="57" t="str">
        <f>IFERROR(+VLOOKUP(Ventas[[#This Row],[Codigo de Producto]],Productos[#All],2,FALSE),"")</f>
        <v>Dispiasa</v>
      </c>
      <c r="K4279" s="57">
        <f ca="1">IFERROR(+VLOOKUP(Ventas[[#This Row],[Codigo de Producto]],Productos[#All],9,FALSE),"")</f>
        <v>1718</v>
      </c>
      <c r="M4279" s="57">
        <f t="shared" ca="1" si="1293"/>
        <v>1718</v>
      </c>
      <c r="N4279" s="57">
        <f t="shared" ca="1" si="1291"/>
        <v>232</v>
      </c>
    </row>
    <row r="4280" spans="1:14" x14ac:dyDescent="0.25">
      <c r="A4280">
        <v>126</v>
      </c>
      <c r="B4280" s="1">
        <v>44172</v>
      </c>
      <c r="C4280" s="57" t="str">
        <f>IF(Ventas[[#This Row],[Fecha ]]="","",+TEXT(B4280,"mmmm"))</f>
        <v>diciembre</v>
      </c>
      <c r="D4280" s="57" t="str">
        <f>IFERROR(+VLOOKUP(Ventas[[#This Row],[Codigo de Producto]],Productos[#All],3,FALSE),"")</f>
        <v>Cerámica</v>
      </c>
      <c r="E4280" t="s">
        <v>646</v>
      </c>
      <c r="F4280" s="57" t="str">
        <f>IFERROR(+VLOOKUP(Ventas[[#This Row],[Codigo de Producto]],Productos[#All],4,FALSE),"")</f>
        <v>Zacatepec Marrón</v>
      </c>
      <c r="G4280">
        <v>2</v>
      </c>
      <c r="H4280">
        <v>250</v>
      </c>
      <c r="I4280" s="57">
        <f>IF(Ventas[[#This Row],[Cantidad]]="","",+Ventas[[#This Row],[Cantidad]]*Ventas[[#This Row],[Precio]])</f>
        <v>500</v>
      </c>
      <c r="J4280" s="57" t="str">
        <f>IFERROR(+VLOOKUP(Ventas[[#This Row],[Codigo de Producto]],Productos[#All],2,FALSE),"")</f>
        <v>Dispiasa</v>
      </c>
      <c r="K4280" s="57">
        <f>IFERROR(+VLOOKUP(Ventas[[#This Row],[Codigo de Producto]],Productos[#All],9,FALSE),"")</f>
        <v>219</v>
      </c>
      <c r="M4280" s="57">
        <f t="shared" si="1293"/>
        <v>438</v>
      </c>
      <c r="N4280" s="57">
        <f t="shared" si="1291"/>
        <v>62</v>
      </c>
    </row>
    <row r="4281" spans="1:14" x14ac:dyDescent="0.25">
      <c r="A4281">
        <v>127</v>
      </c>
      <c r="B4281" s="1">
        <v>44172</v>
      </c>
      <c r="C4281" s="57" t="str">
        <f>IF(Ventas[[#This Row],[Fecha ]]="","",+TEXT(B4281,"mmmm"))</f>
        <v>diciembre</v>
      </c>
      <c r="D4281" s="57" t="str">
        <f>IFERROR(+VLOOKUP(Ventas[[#This Row],[Codigo de Producto]],Productos[#All],3,FALSE),"")</f>
        <v>Cerámica</v>
      </c>
      <c r="E4281" t="s">
        <v>660</v>
      </c>
      <c r="F4281" s="57" t="str">
        <f>IFERROR(+VLOOKUP(Ventas[[#This Row],[Codigo de Producto]],Productos[#All],4,FALSE),"")</f>
        <v>Mosaico Azul</v>
      </c>
      <c r="G4281">
        <v>4.5</v>
      </c>
      <c r="H4281">
        <v>300</v>
      </c>
      <c r="I4281" s="57">
        <f>IF(Ventas[[#This Row],[Cantidad]]="","",+Ventas[[#This Row],[Cantidad]]*Ventas[[#This Row],[Precio]])</f>
        <v>1350</v>
      </c>
      <c r="J4281" s="57" t="str">
        <f>IFERROR(+VLOOKUP(Ventas[[#This Row],[Codigo de Producto]],Productos[#All],2,FALSE),"")</f>
        <v>Dispiasa</v>
      </c>
      <c r="K4281" s="57">
        <f>IFERROR(+VLOOKUP(Ventas[[#This Row],[Codigo de Producto]],Productos[#All],9,FALSE),"")</f>
        <v>268</v>
      </c>
      <c r="M4281" s="57">
        <f t="shared" si="1293"/>
        <v>1206</v>
      </c>
      <c r="N4281" s="57">
        <f t="shared" si="1291"/>
        <v>144</v>
      </c>
    </row>
    <row r="4282" spans="1:14" x14ac:dyDescent="0.25">
      <c r="A4282">
        <v>128</v>
      </c>
      <c r="B4282" s="1">
        <v>44172</v>
      </c>
      <c r="C4282" s="57" t="str">
        <f>IF(Ventas[[#This Row],[Fecha ]]="","",+TEXT(B4282,"mmmm"))</f>
        <v>diciembre</v>
      </c>
      <c r="D4282" s="57" t="str">
        <f>IFERROR(+VLOOKUP(Ventas[[#This Row],[Codigo de Producto]],Productos[#All],3,FALSE),"")</f>
        <v>Porcelana</v>
      </c>
      <c r="E4282" t="s">
        <v>708</v>
      </c>
      <c r="F4282" s="57" t="str">
        <f>IFERROR(+VLOOKUP(Ventas[[#This Row],[Codigo de Producto]],Productos[#All],4,FALSE),"")</f>
        <v xml:space="preserve">Porcelana Maya </v>
      </c>
      <c r="G4282">
        <v>2</v>
      </c>
      <c r="H4282">
        <v>60</v>
      </c>
      <c r="I4282" s="57">
        <f>IF(Ventas[[#This Row],[Cantidad]]="","",+Ventas[[#This Row],[Cantidad]]*Ventas[[#This Row],[Precio]])</f>
        <v>120</v>
      </c>
      <c r="J4282" s="57" t="str">
        <f>IFERROR(+VLOOKUP(Ventas[[#This Row],[Codigo de Producto]],Productos[#All],2,FALSE),"")</f>
        <v>Martinez</v>
      </c>
      <c r="K4282" s="57">
        <f>IFERROR(+VLOOKUP(Ventas[[#This Row],[Codigo de Producto]],Productos[#All],9,FALSE),"")</f>
        <v>33.333333333333336</v>
      </c>
      <c r="M4282" s="57">
        <f t="shared" si="1293"/>
        <v>66.666666666666671</v>
      </c>
      <c r="N4282" s="57">
        <f t="shared" si="1291"/>
        <v>53.333333333333329</v>
      </c>
    </row>
    <row r="4283" spans="1:14" x14ac:dyDescent="0.25">
      <c r="A4283">
        <v>129</v>
      </c>
      <c r="B4283" s="1">
        <v>44174</v>
      </c>
      <c r="C4283" s="57" t="str">
        <f>IF(Ventas[[#This Row],[Fecha ]]="","",+TEXT(B4283,"mmmm"))</f>
        <v>diciembre</v>
      </c>
      <c r="D4283" s="57" t="str">
        <f>IFERROR(+VLOOKUP(Ventas[[#This Row],[Codigo de Producto]],Productos[#All],3,FALSE),"")</f>
        <v>Cerámica</v>
      </c>
      <c r="E4283" t="s">
        <v>696</v>
      </c>
      <c r="F4283" s="57" t="str">
        <f>IFERROR(+VLOOKUP(Ventas[[#This Row],[Codigo de Producto]],Productos[#All],4,FALSE),"")</f>
        <v>Madera Cedro</v>
      </c>
      <c r="G4283">
        <v>18</v>
      </c>
      <c r="H4283">
        <v>280</v>
      </c>
      <c r="I4283" s="57">
        <f>IF(Ventas[[#This Row],[Cantidad]]="","",+Ventas[[#This Row],[Cantidad]]*Ventas[[#This Row],[Precio]])</f>
        <v>5040</v>
      </c>
      <c r="J4283" s="57" t="str">
        <f>IFERROR(+VLOOKUP(Ventas[[#This Row],[Codigo de Producto]],Productos[#All],2,FALSE),"")</f>
        <v>Comasa</v>
      </c>
      <c r="K4283" s="57">
        <f>IFERROR(+VLOOKUP(Ventas[[#This Row],[Codigo de Producto]],Productos[#All],9,FALSE),"")</f>
        <v>236</v>
      </c>
      <c r="M4283" s="57">
        <f t="shared" ref="M4283:M4284" si="1294">+IF(K4283=0,(""),(K4283*G4283))</f>
        <v>4248</v>
      </c>
      <c r="N4283" s="57">
        <f t="shared" ref="N4283:N4284" si="1295">+IF(K4283=0,(""),(I4283-M4283))</f>
        <v>792</v>
      </c>
    </row>
    <row r="4284" spans="1:14" x14ac:dyDescent="0.25">
      <c r="A4284">
        <v>130</v>
      </c>
      <c r="B4284" s="1">
        <v>44174</v>
      </c>
      <c r="C4284" s="57" t="str">
        <f>IF(Ventas[[#This Row],[Fecha ]]="","",+TEXT(B4284,"mmmm"))</f>
        <v>diciembre</v>
      </c>
      <c r="D4284" s="57" t="str">
        <f>IFERROR(+VLOOKUP(Ventas[[#This Row],[Codigo de Producto]],Productos[#All],3,FALSE),"")</f>
        <v>Porcelana</v>
      </c>
      <c r="E4284" t="s">
        <v>708</v>
      </c>
      <c r="F4284" s="57" t="str">
        <f>IFERROR(+VLOOKUP(Ventas[[#This Row],[Codigo de Producto]],Productos[#All],4,FALSE),"")</f>
        <v xml:space="preserve">Porcelana Maya </v>
      </c>
      <c r="G4284">
        <v>3</v>
      </c>
      <c r="H4284">
        <v>60</v>
      </c>
      <c r="I4284" s="57">
        <f>IF(Ventas[[#This Row],[Cantidad]]="","",+Ventas[[#This Row],[Cantidad]]*Ventas[[#This Row],[Precio]])</f>
        <v>180</v>
      </c>
      <c r="J4284" s="57" t="str">
        <f>IFERROR(+VLOOKUP(Ventas[[#This Row],[Codigo de Producto]],Productos[#All],2,FALSE),"")</f>
        <v>Martinez</v>
      </c>
      <c r="K4284" s="57">
        <f>IFERROR(+VLOOKUP(Ventas[[#This Row],[Codigo de Producto]],Productos[#All],9,FALSE),"")</f>
        <v>33.333333333333336</v>
      </c>
      <c r="M4284" s="57">
        <f t="shared" si="1294"/>
        <v>100</v>
      </c>
      <c r="N4284" s="57">
        <f t="shared" si="1295"/>
        <v>80</v>
      </c>
    </row>
    <row r="4285" spans="1:14" x14ac:dyDescent="0.25">
      <c r="A4285">
        <v>131</v>
      </c>
      <c r="B4285" s="1">
        <v>44174</v>
      </c>
      <c r="C4285" s="57" t="str">
        <f>IF(Ventas[[#This Row],[Fecha ]]="","",+TEXT(B4285,"mmmm"))</f>
        <v>diciembre</v>
      </c>
      <c r="D4285" s="57" t="str">
        <f>IFERROR(+VLOOKUP(Ventas[[#This Row],[Codigo de Producto]],Productos[#All],3,FALSE),"")</f>
        <v>Separadores</v>
      </c>
      <c r="E4285" t="s">
        <v>722</v>
      </c>
      <c r="F4285" s="57" t="str">
        <f>IFERROR(+VLOOKUP(Ventas[[#This Row],[Codigo de Producto]],Productos[#All],4,FALSE),"")</f>
        <v>Separadores de 5 mm</v>
      </c>
      <c r="G4285">
        <v>1</v>
      </c>
      <c r="H4285">
        <v>35</v>
      </c>
      <c r="I4285" s="57">
        <f>IF(Ventas[[#This Row],[Cantidad]]="","",+Ventas[[#This Row],[Cantidad]]*Ventas[[#This Row],[Precio]])</f>
        <v>35</v>
      </c>
      <c r="J4285" s="57" t="str">
        <f>IFERROR(+VLOOKUP(Ventas[[#This Row],[Codigo de Producto]],Productos[#All],2,FALSE),"")</f>
        <v>Silco</v>
      </c>
      <c r="K4285" s="57">
        <f>IFERROR(+VLOOKUP(Ventas[[#This Row],[Codigo de Producto]],Productos[#All],9,FALSE),"")</f>
        <v>22</v>
      </c>
      <c r="M4285" s="57">
        <f t="shared" ref="M4285:M4316" si="1296">+IF(K4285=0,(""),(K4285*G4285))</f>
        <v>22</v>
      </c>
      <c r="N4285" s="57">
        <f t="shared" ref="N4285:N4316" si="1297">+IF(K4285=0,(""),(I4285-M4285))</f>
        <v>13</v>
      </c>
    </row>
    <row r="4286" spans="1:14" x14ac:dyDescent="0.25">
      <c r="A4286">
        <v>132</v>
      </c>
      <c r="B4286" s="1">
        <v>44174</v>
      </c>
      <c r="C4286" s="57" t="str">
        <f>IF(Ventas[[#This Row],[Fecha ]]="","",+TEXT(B4286,"mmmm"))</f>
        <v>diciembre</v>
      </c>
      <c r="D4286" s="57" t="str">
        <f>IFERROR(+VLOOKUP(Ventas[[#This Row],[Codigo de Producto]],Productos[#All],3,FALSE),"")</f>
        <v>Cerámica</v>
      </c>
      <c r="E4286" t="s">
        <v>892</v>
      </c>
      <c r="F4286" s="57" t="str">
        <f>IFERROR(+VLOOKUP(Ventas[[#This Row],[Codigo de Producto]],Productos[#All],4,FALSE),"")</f>
        <v>Babilonia Blanco</v>
      </c>
      <c r="G4286">
        <v>10.5</v>
      </c>
      <c r="H4286">
        <v>240</v>
      </c>
      <c r="I4286" s="57">
        <f>IF(Ventas[[#This Row],[Cantidad]]="","",+Ventas[[#This Row],[Cantidad]]*Ventas[[#This Row],[Precio]])</f>
        <v>2520</v>
      </c>
      <c r="J4286" s="57" t="str">
        <f>IFERROR(+VLOOKUP(Ventas[[#This Row],[Codigo de Producto]],Productos[#All],2,FALSE),"")</f>
        <v>Comasa</v>
      </c>
      <c r="K4286" s="57">
        <f ca="1">IFERROR(+VLOOKUP(Ventas[[#This Row],[Codigo de Producto]],Productos[#All],9,FALSE),"")</f>
        <v>216.82</v>
      </c>
      <c r="M4286" s="57">
        <f t="shared" ca="1" si="1296"/>
        <v>2276.61</v>
      </c>
      <c r="N4286" s="57">
        <f t="shared" ca="1" si="1297"/>
        <v>243.38999999999987</v>
      </c>
    </row>
    <row r="4287" spans="1:14" x14ac:dyDescent="0.25">
      <c r="A4287">
        <v>133</v>
      </c>
      <c r="B4287" s="1">
        <v>44174</v>
      </c>
      <c r="C4287" s="57" t="str">
        <f>IF(Ventas[[#This Row],[Fecha ]]="","",+TEXT(B4287,"mmmm"))</f>
        <v>diciembre</v>
      </c>
      <c r="D4287" s="57" t="str">
        <f>IFERROR(+VLOOKUP(Ventas[[#This Row],[Codigo de Producto]],Productos[#All],3,FALSE),"")</f>
        <v>Bond</v>
      </c>
      <c r="E4287" t="s">
        <v>888</v>
      </c>
      <c r="F4287" s="57" t="str">
        <f>IFERROR(+VLOOKUP(Ventas[[#This Row],[Codigo de Producto]],Productos[#All],4,FALSE),"")</f>
        <v>Diamond Bond Plus</v>
      </c>
      <c r="G4287">
        <v>4</v>
      </c>
      <c r="H4287">
        <v>120</v>
      </c>
      <c r="I4287" s="57">
        <f>IF(Ventas[[#This Row],[Cantidad]]="","",+Ventas[[#This Row],[Cantidad]]*Ventas[[#This Row],[Precio]])</f>
        <v>480</v>
      </c>
      <c r="J4287" s="57" t="str">
        <f>IFERROR(+VLOOKUP(Ventas[[#This Row],[Codigo de Producto]],Productos[#All],2,FALSE),"")</f>
        <v>Martinez</v>
      </c>
      <c r="K4287" s="57">
        <f>IFERROR(+VLOOKUP(Ventas[[#This Row],[Codigo de Producto]],Productos[#All],9,FALSE),"")</f>
        <v>34</v>
      </c>
      <c r="M4287" s="57">
        <f t="shared" si="1296"/>
        <v>136</v>
      </c>
      <c r="N4287" s="57">
        <f t="shared" si="1297"/>
        <v>344</v>
      </c>
    </row>
    <row r="4288" spans="1:14" x14ac:dyDescent="0.25">
      <c r="A4288">
        <v>134</v>
      </c>
      <c r="B4288" s="1">
        <v>44174</v>
      </c>
      <c r="C4288" s="57" t="str">
        <f>IF(Ventas[[#This Row],[Fecha ]]="","",+TEXT(B4288,"mmmm"))</f>
        <v>diciembre</v>
      </c>
      <c r="D4288" s="57" t="str">
        <f>IFERROR(+VLOOKUP(Ventas[[#This Row],[Codigo de Producto]],Productos[#All],3,FALSE),"")</f>
        <v>Porcelana</v>
      </c>
      <c r="E4288" t="s">
        <v>708</v>
      </c>
      <c r="F4288" s="57" t="str">
        <f>IFERROR(+VLOOKUP(Ventas[[#This Row],[Codigo de Producto]],Productos[#All],4,FALSE),"")</f>
        <v xml:space="preserve">Porcelana Maya </v>
      </c>
      <c r="G4288">
        <v>2</v>
      </c>
      <c r="H4288">
        <v>60</v>
      </c>
      <c r="I4288" s="57">
        <f>IF(Ventas[[#This Row],[Cantidad]]="","",+Ventas[[#This Row],[Cantidad]]*Ventas[[#This Row],[Precio]])</f>
        <v>120</v>
      </c>
      <c r="J4288" s="57" t="str">
        <f>IFERROR(+VLOOKUP(Ventas[[#This Row],[Codigo de Producto]],Productos[#All],2,FALSE),"")</f>
        <v>Martinez</v>
      </c>
      <c r="K4288" s="57">
        <f>IFERROR(+VLOOKUP(Ventas[[#This Row],[Codigo de Producto]],Productos[#All],9,FALSE),"")</f>
        <v>33.333333333333336</v>
      </c>
      <c r="M4288" s="57">
        <f t="shared" si="1296"/>
        <v>66.666666666666671</v>
      </c>
      <c r="N4288" s="57">
        <f t="shared" si="1297"/>
        <v>53.333333333333329</v>
      </c>
    </row>
    <row r="4289" spans="1:14" x14ac:dyDescent="0.25">
      <c r="A4289">
        <v>135</v>
      </c>
      <c r="B4289" s="1">
        <v>44174</v>
      </c>
      <c r="C4289" s="57" t="str">
        <f>IF(Ventas[[#This Row],[Fecha ]]="","",+TEXT(B4289,"mmmm"))</f>
        <v>diciembre</v>
      </c>
      <c r="D4289" s="57" t="str">
        <f>IFERROR(+VLOOKUP(Ventas[[#This Row],[Codigo de Producto]],Productos[#All],3,FALSE),"")</f>
        <v>Porcelana</v>
      </c>
      <c r="E4289" t="s">
        <v>708</v>
      </c>
      <c r="F4289" s="57" t="str">
        <f>IFERROR(+VLOOKUP(Ventas[[#This Row],[Codigo de Producto]],Productos[#All],4,FALSE),"")</f>
        <v xml:space="preserve">Porcelana Maya </v>
      </c>
      <c r="G4289">
        <v>1</v>
      </c>
      <c r="H4289">
        <v>60</v>
      </c>
      <c r="I4289" s="57">
        <f>IF(Ventas[[#This Row],[Cantidad]]="","",+Ventas[[#This Row],[Cantidad]]*Ventas[[#This Row],[Precio]])</f>
        <v>60</v>
      </c>
      <c r="J4289" s="57" t="str">
        <f>IFERROR(+VLOOKUP(Ventas[[#This Row],[Codigo de Producto]],Productos[#All],2,FALSE),"")</f>
        <v>Martinez</v>
      </c>
      <c r="K4289" s="57">
        <f>IFERROR(+VLOOKUP(Ventas[[#This Row],[Codigo de Producto]],Productos[#All],9,FALSE),"")</f>
        <v>33.333333333333336</v>
      </c>
      <c r="M4289" s="57">
        <f t="shared" si="1296"/>
        <v>33.333333333333336</v>
      </c>
      <c r="N4289" s="57">
        <f t="shared" si="1297"/>
        <v>26.666666666666664</v>
      </c>
    </row>
    <row r="4290" spans="1:14" x14ac:dyDescent="0.25">
      <c r="A4290">
        <v>136</v>
      </c>
      <c r="B4290" s="1">
        <v>44174</v>
      </c>
      <c r="C4290" s="57" t="str">
        <f>IF(Ventas[[#This Row],[Fecha ]]="","",+TEXT(B4290,"mmmm"))</f>
        <v>diciembre</v>
      </c>
      <c r="D4290" s="57" t="str">
        <f>IFERROR(+VLOOKUP(Ventas[[#This Row],[Codigo de Producto]],Productos[#All],3,FALSE),"")</f>
        <v>Separadores</v>
      </c>
      <c r="E4290" t="s">
        <v>720</v>
      </c>
      <c r="F4290" s="57" t="str">
        <f>IFERROR(+VLOOKUP(Ventas[[#This Row],[Codigo de Producto]],Productos[#All],4,FALSE),"")</f>
        <v>Separadores de 3 mm</v>
      </c>
      <c r="G4290">
        <v>1</v>
      </c>
      <c r="H4290">
        <v>35</v>
      </c>
      <c r="I4290" s="57">
        <f>IF(Ventas[[#This Row],[Cantidad]]="","",+Ventas[[#This Row],[Cantidad]]*Ventas[[#This Row],[Precio]])</f>
        <v>35</v>
      </c>
      <c r="J4290" s="57" t="str">
        <f>IFERROR(+VLOOKUP(Ventas[[#This Row],[Codigo de Producto]],Productos[#All],2,FALSE),"")</f>
        <v>Silco</v>
      </c>
      <c r="K4290" s="57">
        <f>IFERROR(+VLOOKUP(Ventas[[#This Row],[Codigo de Producto]],Productos[#All],9,FALSE),"")</f>
        <v>26</v>
      </c>
      <c r="M4290" s="57">
        <f t="shared" si="1296"/>
        <v>26</v>
      </c>
      <c r="N4290" s="57">
        <f t="shared" si="1297"/>
        <v>9</v>
      </c>
    </row>
    <row r="4291" spans="1:14" x14ac:dyDescent="0.25">
      <c r="A4291">
        <v>137</v>
      </c>
      <c r="B4291" s="1">
        <v>44174</v>
      </c>
      <c r="C4291" s="57" t="str">
        <f>IF(Ventas[[#This Row],[Fecha ]]="","",+TEXT(B4291,"mmmm"))</f>
        <v>diciembre</v>
      </c>
      <c r="D4291" s="57" t="str">
        <f>IFERROR(+VLOOKUP(Ventas[[#This Row],[Codigo de Producto]],Productos[#All],3,FALSE),"")</f>
        <v>Cerámica</v>
      </c>
      <c r="E4291" t="s">
        <v>890</v>
      </c>
      <c r="F4291" s="57" t="str">
        <f>IFERROR(+VLOOKUP(Ventas[[#This Row],[Codigo de Producto]],Productos[#All],4,FALSE),"")</f>
        <v>Calzada Gris</v>
      </c>
      <c r="G4291">
        <v>5</v>
      </c>
      <c r="H4291">
        <v>250</v>
      </c>
      <c r="I4291" s="57">
        <f>IF(Ventas[[#This Row],[Cantidad]]="","",+Ventas[[#This Row],[Cantidad]]*Ventas[[#This Row],[Precio]])</f>
        <v>1250</v>
      </c>
      <c r="J4291" s="57" t="str">
        <f>IFERROR(+VLOOKUP(Ventas[[#This Row],[Codigo de Producto]],Productos[#All],2,FALSE),"")</f>
        <v>Comasa</v>
      </c>
      <c r="K4291" s="57">
        <f ca="1">IFERROR(+VLOOKUP(Ventas[[#This Row],[Codigo de Producto]],Productos[#All],9,FALSE),"")</f>
        <v>232.64</v>
      </c>
      <c r="M4291" s="57">
        <f t="shared" ca="1" si="1296"/>
        <v>1163.1999999999998</v>
      </c>
      <c r="N4291" s="57">
        <f t="shared" ca="1" si="1297"/>
        <v>86.800000000000182</v>
      </c>
    </row>
    <row r="4292" spans="1:14" x14ac:dyDescent="0.25">
      <c r="A4292">
        <v>138</v>
      </c>
      <c r="B4292" s="1">
        <v>44174</v>
      </c>
      <c r="C4292" s="57" t="str">
        <f>IF(Ventas[[#This Row],[Fecha ]]="","",+TEXT(B4292,"mmmm"))</f>
        <v>diciembre</v>
      </c>
      <c r="D4292" s="57" t="str">
        <f>IFERROR(+VLOOKUP(Ventas[[#This Row],[Codigo de Producto]],Productos[#All],3,FALSE),"")</f>
        <v>Bond</v>
      </c>
      <c r="E4292" t="s">
        <v>888</v>
      </c>
      <c r="F4292" s="57" t="str">
        <f>IFERROR(+VLOOKUP(Ventas[[#This Row],[Codigo de Producto]],Productos[#All],4,FALSE),"")</f>
        <v>Diamond Bond Plus</v>
      </c>
      <c r="G4292">
        <v>2</v>
      </c>
      <c r="H4292">
        <v>120</v>
      </c>
      <c r="I4292" s="57">
        <f>IF(Ventas[[#This Row],[Cantidad]]="","",+Ventas[[#This Row],[Cantidad]]*Ventas[[#This Row],[Precio]])</f>
        <v>240</v>
      </c>
      <c r="J4292" s="57" t="str">
        <f>IFERROR(+VLOOKUP(Ventas[[#This Row],[Codigo de Producto]],Productos[#All],2,FALSE),"")</f>
        <v>Martinez</v>
      </c>
      <c r="K4292" s="57">
        <f>IFERROR(+VLOOKUP(Ventas[[#This Row],[Codigo de Producto]],Productos[#All],9,FALSE),"")</f>
        <v>34</v>
      </c>
      <c r="M4292" s="57">
        <f t="shared" si="1296"/>
        <v>68</v>
      </c>
      <c r="N4292" s="57">
        <f t="shared" si="1297"/>
        <v>172</v>
      </c>
    </row>
    <row r="4293" spans="1:14" x14ac:dyDescent="0.25">
      <c r="A4293">
        <v>139</v>
      </c>
      <c r="B4293" s="1">
        <v>44174</v>
      </c>
      <c r="C4293" s="57" t="str">
        <f>IF(Ventas[[#This Row],[Fecha ]]="","",+TEXT(B4293,"mmmm"))</f>
        <v>diciembre</v>
      </c>
      <c r="D4293" s="57" t="str">
        <f>IFERROR(+VLOOKUP(Ventas[[#This Row],[Codigo de Producto]],Productos[#All],3,FALSE),"")</f>
        <v>Iluminación</v>
      </c>
      <c r="E4293" t="s">
        <v>768</v>
      </c>
      <c r="F4293" s="57" t="str">
        <f>IFERROR(+VLOOKUP(Ventas[[#This Row],[Codigo de Producto]],Productos[#All],4,FALSE),"")</f>
        <v>Bujía Led 3B 11w</v>
      </c>
      <c r="G4293">
        <v>1</v>
      </c>
      <c r="H4293">
        <v>70</v>
      </c>
      <c r="I4293" s="57">
        <f>IF(Ventas[[#This Row],[Cantidad]]="","",+Ventas[[#This Row],[Cantidad]]*Ventas[[#This Row],[Precio]])</f>
        <v>70</v>
      </c>
      <c r="J4293" s="57" t="str">
        <f>IFERROR(+VLOOKUP(Ventas[[#This Row],[Codigo de Producto]],Productos[#All],2,FALSE),"")</f>
        <v>Magaña</v>
      </c>
      <c r="K4293" s="57">
        <f ca="1">IFERROR(+VLOOKUP(Ventas[[#This Row],[Codigo de Producto]],Productos[#All],9,FALSE),"")</f>
        <v>0</v>
      </c>
      <c r="M4293" s="57" t="str">
        <f t="shared" ca="1" si="1296"/>
        <v/>
      </c>
      <c r="N4293" s="57" t="str">
        <f t="shared" ca="1" si="1297"/>
        <v/>
      </c>
    </row>
    <row r="4294" spans="1:14" x14ac:dyDescent="0.25">
      <c r="A4294">
        <v>140</v>
      </c>
      <c r="B4294" s="1">
        <v>44174</v>
      </c>
      <c r="C4294" s="57" t="str">
        <f>IF(Ventas[[#This Row],[Fecha ]]="","",+TEXT(B4294,"mmmm"))</f>
        <v>diciembre</v>
      </c>
      <c r="D4294" s="57" t="str">
        <f>IFERROR(+VLOOKUP(Ventas[[#This Row],[Codigo de Producto]],Productos[#All],3,FALSE),"")</f>
        <v>Separadores</v>
      </c>
      <c r="E4294" t="s">
        <v>721</v>
      </c>
      <c r="F4294" s="57" t="str">
        <f>IFERROR(+VLOOKUP(Ventas[[#This Row],[Codigo de Producto]],Productos[#All],4,FALSE),"")</f>
        <v>Separadores de 4 mm</v>
      </c>
      <c r="G4294">
        <v>1</v>
      </c>
      <c r="H4294">
        <v>35</v>
      </c>
      <c r="I4294" s="57">
        <f>IF(Ventas[[#This Row],[Cantidad]]="","",+Ventas[[#This Row],[Cantidad]]*Ventas[[#This Row],[Precio]])</f>
        <v>35</v>
      </c>
      <c r="J4294" s="57" t="str">
        <f>IFERROR(+VLOOKUP(Ventas[[#This Row],[Codigo de Producto]],Productos[#All],2,FALSE),"")</f>
        <v>Silco</v>
      </c>
      <c r="K4294" s="57">
        <f>IFERROR(+VLOOKUP(Ventas[[#This Row],[Codigo de Producto]],Productos[#All],9,FALSE),"")</f>
        <v>22</v>
      </c>
      <c r="M4294" s="57">
        <f t="shared" si="1296"/>
        <v>22</v>
      </c>
      <c r="N4294" s="57">
        <f t="shared" si="1297"/>
        <v>13</v>
      </c>
    </row>
    <row r="4295" spans="1:14" x14ac:dyDescent="0.25">
      <c r="A4295">
        <v>141</v>
      </c>
      <c r="B4295" s="1">
        <v>44174</v>
      </c>
      <c r="C4295" s="57" t="str">
        <f>IF(Ventas[[#This Row],[Fecha ]]="","",+TEXT(B4295,"mmmm"))</f>
        <v>diciembre</v>
      </c>
      <c r="D4295" s="57" t="str">
        <f>IFERROR(+VLOOKUP(Ventas[[#This Row],[Codigo de Producto]],Productos[#All],3,FALSE),"")</f>
        <v>Porcelana</v>
      </c>
      <c r="E4295" t="s">
        <v>708</v>
      </c>
      <c r="F4295" s="57" t="str">
        <f>IFERROR(+VLOOKUP(Ventas[[#This Row],[Codigo de Producto]],Productos[#All],4,FALSE),"")</f>
        <v xml:space="preserve">Porcelana Maya </v>
      </c>
      <c r="G4295">
        <v>1</v>
      </c>
      <c r="H4295">
        <v>60</v>
      </c>
      <c r="I4295" s="57">
        <f>IF(Ventas[[#This Row],[Cantidad]]="","",+Ventas[[#This Row],[Cantidad]]*Ventas[[#This Row],[Precio]])</f>
        <v>60</v>
      </c>
      <c r="J4295" s="57" t="str">
        <f>IFERROR(+VLOOKUP(Ventas[[#This Row],[Codigo de Producto]],Productos[#All],2,FALSE),"")</f>
        <v>Martinez</v>
      </c>
      <c r="K4295" s="57">
        <f>IFERROR(+VLOOKUP(Ventas[[#This Row],[Codigo de Producto]],Productos[#All],9,FALSE),"")</f>
        <v>33.333333333333336</v>
      </c>
      <c r="M4295" s="57">
        <f t="shared" si="1296"/>
        <v>33.333333333333336</v>
      </c>
      <c r="N4295" s="57">
        <f t="shared" si="1297"/>
        <v>26.666666666666664</v>
      </c>
    </row>
    <row r="4296" spans="1:14" x14ac:dyDescent="0.25">
      <c r="A4296">
        <v>142</v>
      </c>
      <c r="B4296" s="1">
        <v>44174</v>
      </c>
      <c r="C4296" s="57" t="str">
        <f>IF(Ventas[[#This Row],[Fecha ]]="","",+TEXT(B4296,"mmmm"))</f>
        <v>diciembre</v>
      </c>
      <c r="D4296" s="57" t="str">
        <f>IFERROR(+VLOOKUP(Ventas[[#This Row],[Codigo de Producto]],Productos[#All],3,FALSE),"")</f>
        <v>Azulejos</v>
      </c>
      <c r="E4296" t="s">
        <v>852</v>
      </c>
      <c r="F4296" s="57" t="str">
        <f>IFERROR(+VLOOKUP(Ventas[[#This Row],[Codigo de Producto]],Productos[#All],4,FALSE),"")</f>
        <v>Primavera Azul Liso</v>
      </c>
      <c r="G4296">
        <f>3/12</f>
        <v>0.25</v>
      </c>
      <c r="H4296">
        <v>300</v>
      </c>
      <c r="I4296" s="57">
        <f>IF(Ventas[[#This Row],[Cantidad]]="","",+Ventas[[#This Row],[Cantidad]]*Ventas[[#This Row],[Precio]])</f>
        <v>75</v>
      </c>
      <c r="J4296" s="57" t="str">
        <f>IFERROR(+VLOOKUP(Ventas[[#This Row],[Codigo de Producto]],Productos[#All],2,FALSE),"")</f>
        <v>Dispiasa</v>
      </c>
      <c r="K4296" s="57">
        <f>IFERROR(+VLOOKUP(Ventas[[#This Row],[Codigo de Producto]],Productos[#All],9,FALSE),"")</f>
        <v>268</v>
      </c>
      <c r="M4296" s="57">
        <f t="shared" si="1296"/>
        <v>67</v>
      </c>
      <c r="N4296" s="57">
        <f t="shared" si="1297"/>
        <v>8</v>
      </c>
    </row>
    <row r="4297" spans="1:14" x14ac:dyDescent="0.25">
      <c r="A4297">
        <v>143</v>
      </c>
      <c r="B4297" s="1">
        <v>44174</v>
      </c>
      <c r="C4297" s="57" t="str">
        <f>IF(Ventas[[#This Row],[Fecha ]]="","",+TEXT(B4297,"mmmm"))</f>
        <v>diciembre</v>
      </c>
      <c r="D4297" s="57" t="str">
        <f>IFERROR(+VLOOKUP(Ventas[[#This Row],[Codigo de Producto]],Productos[#All],3,FALSE),"")</f>
        <v>Cerámica</v>
      </c>
      <c r="E4297" t="s">
        <v>699</v>
      </c>
      <c r="F4297" s="57" t="str">
        <f>IFERROR(+VLOOKUP(Ventas[[#This Row],[Codigo de Producto]],Productos[#All],4,FALSE),"")</f>
        <v>Palestina negro</v>
      </c>
      <c r="G4297">
        <v>1.33</v>
      </c>
      <c r="H4297">
        <v>300</v>
      </c>
      <c r="I4297" s="57">
        <f>IF(Ventas[[#This Row],[Cantidad]]="","",+Ventas[[#This Row],[Cantidad]]*Ventas[[#This Row],[Precio]])</f>
        <v>399</v>
      </c>
      <c r="J4297" s="57" t="str">
        <f>IFERROR(+VLOOKUP(Ventas[[#This Row],[Codigo de Producto]],Productos[#All],2,FALSE),"")</f>
        <v>Dispiasa</v>
      </c>
      <c r="K4297" s="57">
        <f>IFERROR(+VLOOKUP(Ventas[[#This Row],[Codigo de Producto]],Productos[#All],9,FALSE),"")</f>
        <v>268</v>
      </c>
      <c r="M4297" s="57">
        <f t="shared" si="1296"/>
        <v>356.44</v>
      </c>
      <c r="N4297" s="57">
        <f t="shared" si="1297"/>
        <v>42.56</v>
      </c>
    </row>
    <row r="4298" spans="1:14" x14ac:dyDescent="0.25">
      <c r="A4298">
        <v>144</v>
      </c>
      <c r="B4298" s="1">
        <v>44174</v>
      </c>
      <c r="C4298" s="57" t="str">
        <f>IF(Ventas[[#This Row],[Fecha ]]="","",+TEXT(B4298,"mmmm"))</f>
        <v>diciembre</v>
      </c>
      <c r="D4298" s="57" t="str">
        <f>IFERROR(+VLOOKUP(Ventas[[#This Row],[Codigo de Producto]],Productos[#All],3,FALSE),"")</f>
        <v>Bond</v>
      </c>
      <c r="E4298" t="s">
        <v>704</v>
      </c>
      <c r="F4298" s="57" t="str">
        <f>IFERROR(+VLOOKUP(Ventas[[#This Row],[Codigo de Producto]],Productos[#All],4,FALSE),"")</f>
        <v>Drytec Bond Plus</v>
      </c>
      <c r="G4298">
        <v>1</v>
      </c>
      <c r="H4298">
        <v>155</v>
      </c>
      <c r="I4298" s="57">
        <f>IF(Ventas[[#This Row],[Cantidad]]="","",+Ventas[[#This Row],[Cantidad]]*Ventas[[#This Row],[Precio]])</f>
        <v>155</v>
      </c>
      <c r="J4298" s="57" t="str">
        <f>IFERROR(+VLOOKUP(Ventas[[#This Row],[Codigo de Producto]],Productos[#All],2,FALSE),"")</f>
        <v>Comasa</v>
      </c>
      <c r="K4298" s="57">
        <f>IFERROR(+VLOOKUP(Ventas[[#This Row],[Codigo de Producto]],Productos[#All],9,FALSE),"")</f>
        <v>127</v>
      </c>
      <c r="M4298" s="57">
        <f t="shared" si="1296"/>
        <v>127</v>
      </c>
      <c r="N4298" s="57">
        <f t="shared" si="1297"/>
        <v>28</v>
      </c>
    </row>
    <row r="4299" spans="1:14" x14ac:dyDescent="0.25">
      <c r="A4299">
        <v>145</v>
      </c>
      <c r="B4299" s="1">
        <v>44174</v>
      </c>
      <c r="C4299" s="57" t="str">
        <f>IF(Ventas[[#This Row],[Fecha ]]="","",+TEXT(B4299,"mmmm"))</f>
        <v>diciembre</v>
      </c>
      <c r="D4299" s="57" t="str">
        <f>IFERROR(+VLOOKUP(Ventas[[#This Row],[Codigo de Producto]],Productos[#All],3,FALSE),"")</f>
        <v>Cerámica</v>
      </c>
      <c r="E4299" t="s">
        <v>644</v>
      </c>
      <c r="F4299" s="57" t="str">
        <f>IFERROR(+VLOOKUP(Ventas[[#This Row],[Codigo de Producto]],Productos[#All],4,FALSE),"")</f>
        <v>802 Roble</v>
      </c>
      <c r="G4299">
        <v>1</v>
      </c>
      <c r="H4299">
        <v>240</v>
      </c>
      <c r="I4299" s="57">
        <f>IF(Ventas[[#This Row],[Cantidad]]="","",+Ventas[[#This Row],[Cantidad]]*Ventas[[#This Row],[Precio]])</f>
        <v>240</v>
      </c>
      <c r="J4299" s="57" t="str">
        <f>IFERROR(+VLOOKUP(Ventas[[#This Row],[Codigo de Producto]],Productos[#All],2,FALSE),"")</f>
        <v>Dispiasa</v>
      </c>
      <c r="K4299" s="57">
        <f>IFERROR(+VLOOKUP(Ventas[[#This Row],[Codigo de Producto]],Productos[#All],9,FALSE),"")</f>
        <v>207</v>
      </c>
      <c r="M4299" s="57">
        <f t="shared" si="1296"/>
        <v>207</v>
      </c>
      <c r="N4299" s="57">
        <f t="shared" si="1297"/>
        <v>33</v>
      </c>
    </row>
    <row r="4300" spans="1:14" x14ac:dyDescent="0.25">
      <c r="A4300">
        <v>146</v>
      </c>
      <c r="B4300" s="1">
        <v>44174</v>
      </c>
      <c r="C4300" s="57" t="str">
        <f>IF(Ventas[[#This Row],[Fecha ]]="","",+TEXT(B4300,"mmmm"))</f>
        <v>diciembre</v>
      </c>
      <c r="D4300" s="57" t="str">
        <f>IFERROR(+VLOOKUP(Ventas[[#This Row],[Codigo de Producto]],Productos[#All],3,FALSE),"")</f>
        <v>Cerámica</v>
      </c>
      <c r="E4300" t="s">
        <v>892</v>
      </c>
      <c r="F4300" s="57" t="str">
        <f>IFERROR(+VLOOKUP(Ventas[[#This Row],[Codigo de Producto]],Productos[#All],4,FALSE),"")</f>
        <v>Babilonia Blanco</v>
      </c>
      <c r="G4300">
        <v>4</v>
      </c>
      <c r="H4300">
        <v>240</v>
      </c>
      <c r="I4300" s="57">
        <f>IF(Ventas[[#This Row],[Cantidad]]="","",+Ventas[[#This Row],[Cantidad]]*Ventas[[#This Row],[Precio]])</f>
        <v>960</v>
      </c>
      <c r="J4300" s="57" t="str">
        <f>IFERROR(+VLOOKUP(Ventas[[#This Row],[Codigo de Producto]],Productos[#All],2,FALSE),"")</f>
        <v>Comasa</v>
      </c>
      <c r="K4300" s="57">
        <f ca="1">IFERROR(+VLOOKUP(Ventas[[#This Row],[Codigo de Producto]],Productos[#All],9,FALSE),"")</f>
        <v>216.82</v>
      </c>
      <c r="M4300" s="57">
        <f t="shared" ca="1" si="1296"/>
        <v>867.28</v>
      </c>
      <c r="N4300" s="57">
        <f t="shared" ca="1" si="1297"/>
        <v>92.720000000000027</v>
      </c>
    </row>
    <row r="4301" spans="1:14" x14ac:dyDescent="0.25">
      <c r="A4301">
        <v>147</v>
      </c>
      <c r="B4301" s="1">
        <v>44174</v>
      </c>
      <c r="C4301" s="57" t="str">
        <f>IF(Ventas[[#This Row],[Fecha ]]="","",+TEXT(B4301,"mmmm"))</f>
        <v>diciembre</v>
      </c>
      <c r="D4301" s="57" t="str">
        <f>IFERROR(+VLOOKUP(Ventas[[#This Row],[Codigo de Producto]],Productos[#All],3,FALSE),"")</f>
        <v>Cerámica</v>
      </c>
      <c r="E4301" t="s">
        <v>638</v>
      </c>
      <c r="F4301" s="57" t="str">
        <f>IFERROR(+VLOOKUP(Ventas[[#This Row],[Codigo de Producto]],Productos[#All],4,FALSE),"")</f>
        <v>222 Blanco</v>
      </c>
      <c r="G4301">
        <v>3</v>
      </c>
      <c r="H4301">
        <v>240</v>
      </c>
      <c r="I4301" s="57">
        <f>IF(Ventas[[#This Row],[Cantidad]]="","",+Ventas[[#This Row],[Cantidad]]*Ventas[[#This Row],[Precio]])</f>
        <v>720</v>
      </c>
      <c r="J4301" s="57" t="str">
        <f>IFERROR(+VLOOKUP(Ventas[[#This Row],[Codigo de Producto]],Productos[#All],2,FALSE),"")</f>
        <v>Dispiasa</v>
      </c>
      <c r="K4301" s="57">
        <f>IFERROR(+VLOOKUP(Ventas[[#This Row],[Codigo de Producto]],Productos[#All],9,FALSE),"")</f>
        <v>207</v>
      </c>
      <c r="M4301" s="57">
        <f t="shared" si="1296"/>
        <v>621</v>
      </c>
      <c r="N4301" s="57">
        <f t="shared" si="1297"/>
        <v>99</v>
      </c>
    </row>
    <row r="4302" spans="1:14" x14ac:dyDescent="0.25">
      <c r="A4302">
        <v>148</v>
      </c>
      <c r="B4302" s="1">
        <v>44174</v>
      </c>
      <c r="C4302" s="57" t="str">
        <f>IF(Ventas[[#This Row],[Fecha ]]="","",+TEXT(B4302,"mmmm"))</f>
        <v>diciembre</v>
      </c>
      <c r="D4302" s="57" t="str">
        <f>IFERROR(+VLOOKUP(Ventas[[#This Row],[Codigo de Producto]],Productos[#All],3,FALSE),"")</f>
        <v>Porcelana</v>
      </c>
      <c r="E4302" t="s">
        <v>708</v>
      </c>
      <c r="F4302" s="57" t="str">
        <f>IFERROR(+VLOOKUP(Ventas[[#This Row],[Codigo de Producto]],Productos[#All],4,FALSE),"")</f>
        <v xml:space="preserve">Porcelana Maya </v>
      </c>
      <c r="G4302">
        <v>1</v>
      </c>
      <c r="H4302">
        <v>60</v>
      </c>
      <c r="I4302" s="57">
        <f>IF(Ventas[[#This Row],[Cantidad]]="","",+Ventas[[#This Row],[Cantidad]]*Ventas[[#This Row],[Precio]])</f>
        <v>60</v>
      </c>
      <c r="J4302" s="57" t="str">
        <f>IFERROR(+VLOOKUP(Ventas[[#This Row],[Codigo de Producto]],Productos[#All],2,FALSE),"")</f>
        <v>Martinez</v>
      </c>
      <c r="K4302" s="57">
        <f>IFERROR(+VLOOKUP(Ventas[[#This Row],[Codigo de Producto]],Productos[#All],9,FALSE),"")</f>
        <v>33.333333333333336</v>
      </c>
      <c r="M4302" s="57">
        <f t="shared" si="1296"/>
        <v>33.333333333333336</v>
      </c>
      <c r="N4302" s="57">
        <f t="shared" si="1297"/>
        <v>26.666666666666664</v>
      </c>
    </row>
    <row r="4303" spans="1:14" x14ac:dyDescent="0.25">
      <c r="A4303">
        <v>149</v>
      </c>
      <c r="B4303" s="1">
        <v>44174</v>
      </c>
      <c r="C4303" s="57" t="str">
        <f>IF(Ventas[[#This Row],[Fecha ]]="","",+TEXT(B4303,"mmmm"))</f>
        <v>diciembre</v>
      </c>
      <c r="D4303" s="57" t="str">
        <f>IFERROR(+VLOOKUP(Ventas[[#This Row],[Codigo de Producto]],Productos[#All],3,FALSE),"")</f>
        <v>Azulejos</v>
      </c>
      <c r="E4303" t="s">
        <v>636</v>
      </c>
      <c r="F4303" s="57" t="str">
        <f>IFERROR(+VLOOKUP(Ventas[[#This Row],[Codigo de Producto]],Productos[#All],4,FALSE),"")</f>
        <v>Calpe Blanco</v>
      </c>
      <c r="G4303">
        <v>1.42</v>
      </c>
      <c r="H4303">
        <v>300</v>
      </c>
      <c r="I4303" s="57">
        <f>IF(Ventas[[#This Row],[Cantidad]]="","",+Ventas[[#This Row],[Cantidad]]*Ventas[[#This Row],[Precio]])</f>
        <v>426</v>
      </c>
      <c r="J4303" s="57" t="str">
        <f>IFERROR(+VLOOKUP(Ventas[[#This Row],[Codigo de Producto]],Productos[#All],2,FALSE),"")</f>
        <v>Dispiasa</v>
      </c>
      <c r="K4303" s="57">
        <f>IFERROR(+VLOOKUP(Ventas[[#This Row],[Codigo de Producto]],Productos[#All],9,FALSE),"")</f>
        <v>268</v>
      </c>
      <c r="M4303" s="57">
        <f t="shared" si="1296"/>
        <v>380.56</v>
      </c>
      <c r="N4303" s="57">
        <f t="shared" si="1297"/>
        <v>45.44</v>
      </c>
    </row>
    <row r="4304" spans="1:14" x14ac:dyDescent="0.25">
      <c r="A4304">
        <v>150</v>
      </c>
      <c r="B4304" s="1">
        <v>44174</v>
      </c>
      <c r="C4304" s="57" t="str">
        <f>IF(Ventas[[#This Row],[Fecha ]]="","",+TEXT(B4304,"mmmm"))</f>
        <v>diciembre</v>
      </c>
      <c r="D4304" s="57" t="str">
        <f>IFERROR(+VLOOKUP(Ventas[[#This Row],[Codigo de Producto]],Productos[#All],3,FALSE),"")</f>
        <v>Cerámica</v>
      </c>
      <c r="E4304" t="s">
        <v>880</v>
      </c>
      <c r="F4304" s="57" t="str">
        <f>IFERROR(+VLOOKUP(Ventas[[#This Row],[Codigo de Producto]],Productos[#All],4,FALSE),"")</f>
        <v>Ebro Beige</v>
      </c>
      <c r="G4304">
        <v>1</v>
      </c>
      <c r="H4304">
        <v>300</v>
      </c>
      <c r="I4304" s="57">
        <f>IF(Ventas[[#This Row],[Cantidad]]="","",+Ventas[[#This Row],[Cantidad]]*Ventas[[#This Row],[Precio]])</f>
        <v>300</v>
      </c>
      <c r="J4304" s="57" t="str">
        <f>IFERROR(+VLOOKUP(Ventas[[#This Row],[Codigo de Producto]],Productos[#All],2,FALSE),"")</f>
        <v>Dispiasa</v>
      </c>
      <c r="K4304" s="57">
        <f ca="1">IFERROR(+VLOOKUP(Ventas[[#This Row],[Codigo de Producto]],Productos[#All],9,FALSE),"")</f>
        <v>268</v>
      </c>
      <c r="M4304" s="57">
        <f t="shared" ca="1" si="1296"/>
        <v>268</v>
      </c>
      <c r="N4304" s="57">
        <f t="shared" ca="1" si="1297"/>
        <v>32</v>
      </c>
    </row>
    <row r="4305" spans="1:14" x14ac:dyDescent="0.25">
      <c r="A4305">
        <v>151</v>
      </c>
      <c r="B4305" s="1">
        <v>44174</v>
      </c>
      <c r="C4305" s="57" t="str">
        <f>IF(Ventas[[#This Row],[Fecha ]]="","",+TEXT(B4305,"mmmm"))</f>
        <v>diciembre</v>
      </c>
      <c r="D4305" s="57" t="str">
        <f>IFERROR(+VLOOKUP(Ventas[[#This Row],[Codigo de Producto]],Productos[#All],3,FALSE),"")</f>
        <v>Azulejos</v>
      </c>
      <c r="E4305" t="s">
        <v>632</v>
      </c>
      <c r="F4305" s="57" t="str">
        <f>IFERROR(+VLOOKUP(Ventas[[#This Row],[Codigo de Producto]],Productos[#All],4,FALSE),"")</f>
        <v>Breccia Café Liso</v>
      </c>
      <c r="G4305">
        <v>10.8</v>
      </c>
      <c r="H4305">
        <v>300</v>
      </c>
      <c r="I4305" s="57">
        <f>IF(Ventas[[#This Row],[Cantidad]]="","",+Ventas[[#This Row],[Cantidad]]*Ventas[[#This Row],[Precio]])</f>
        <v>3240</v>
      </c>
      <c r="J4305" s="57" t="str">
        <f>IFERROR(+VLOOKUP(Ventas[[#This Row],[Codigo de Producto]],Productos[#All],2,FALSE),"")</f>
        <v>Dispiasa</v>
      </c>
      <c r="K4305" s="57">
        <f>IFERROR(+VLOOKUP(Ventas[[#This Row],[Codigo de Producto]],Productos[#All],9,FALSE),"")</f>
        <v>283</v>
      </c>
      <c r="M4305" s="57">
        <f t="shared" si="1296"/>
        <v>3056.4</v>
      </c>
      <c r="N4305" s="57">
        <f t="shared" si="1297"/>
        <v>183.59999999999991</v>
      </c>
    </row>
    <row r="4306" spans="1:14" x14ac:dyDescent="0.25">
      <c r="A4306">
        <v>152</v>
      </c>
      <c r="B4306" s="1">
        <v>44174</v>
      </c>
      <c r="C4306" s="57" t="str">
        <f>IF(Ventas[[#This Row],[Fecha ]]="","",+TEXT(B4306,"mmmm"))</f>
        <v>diciembre</v>
      </c>
      <c r="D4306" s="57" t="str">
        <f>IFERROR(+VLOOKUP(Ventas[[#This Row],[Codigo de Producto]],Productos[#All],3,FALSE),"")</f>
        <v>Azulejos</v>
      </c>
      <c r="E4306" t="s">
        <v>635</v>
      </c>
      <c r="F4306" s="57" t="str">
        <f>IFERROR(+VLOOKUP(Ventas[[#This Row],[Codigo de Producto]],Productos[#All],4,FALSE),"")</f>
        <v>Breccia Café 1</v>
      </c>
      <c r="G4306">
        <v>1.2</v>
      </c>
      <c r="H4306">
        <v>300</v>
      </c>
      <c r="I4306" s="57">
        <f>IF(Ventas[[#This Row],[Cantidad]]="","",+Ventas[[#This Row],[Cantidad]]*Ventas[[#This Row],[Precio]])</f>
        <v>360</v>
      </c>
      <c r="J4306" s="57" t="str">
        <f>IFERROR(+VLOOKUP(Ventas[[#This Row],[Codigo de Producto]],Productos[#All],2,FALSE),"")</f>
        <v>Dispiasa</v>
      </c>
      <c r="K4306" s="57">
        <f>IFERROR(+VLOOKUP(Ventas[[#This Row],[Codigo de Producto]],Productos[#All],9,FALSE),"")</f>
        <v>283</v>
      </c>
      <c r="M4306" s="57">
        <f t="shared" si="1296"/>
        <v>339.59999999999997</v>
      </c>
      <c r="N4306" s="57">
        <f t="shared" si="1297"/>
        <v>20.400000000000034</v>
      </c>
    </row>
    <row r="4307" spans="1:14" x14ac:dyDescent="0.25">
      <c r="A4307">
        <v>153</v>
      </c>
      <c r="B4307" s="1">
        <v>44174</v>
      </c>
      <c r="C4307" s="57" t="str">
        <f>IF(Ventas[[#This Row],[Fecha ]]="","",+TEXT(B4307,"mmmm"))</f>
        <v>diciembre</v>
      </c>
      <c r="D4307" s="57" t="str">
        <f>IFERROR(+VLOOKUP(Ventas[[#This Row],[Codigo de Producto]],Productos[#All],3,FALSE),"")</f>
        <v>Porcelana</v>
      </c>
      <c r="E4307" t="s">
        <v>708</v>
      </c>
      <c r="F4307" s="57" t="str">
        <f>IFERROR(+VLOOKUP(Ventas[[#This Row],[Codigo de Producto]],Productos[#All],4,FALSE),"")</f>
        <v xml:space="preserve">Porcelana Maya </v>
      </c>
      <c r="G4307">
        <v>3</v>
      </c>
      <c r="H4307">
        <v>60</v>
      </c>
      <c r="I4307" s="57">
        <f>IF(Ventas[[#This Row],[Cantidad]]="","",+Ventas[[#This Row],[Cantidad]]*Ventas[[#This Row],[Precio]])</f>
        <v>180</v>
      </c>
      <c r="J4307" s="57" t="str">
        <f>IFERROR(+VLOOKUP(Ventas[[#This Row],[Codigo de Producto]],Productos[#All],2,FALSE),"")</f>
        <v>Martinez</v>
      </c>
      <c r="K4307" s="57">
        <f>IFERROR(+VLOOKUP(Ventas[[#This Row],[Codigo de Producto]],Productos[#All],9,FALSE),"")</f>
        <v>33.333333333333336</v>
      </c>
      <c r="M4307" s="57">
        <f t="shared" si="1296"/>
        <v>100</v>
      </c>
      <c r="N4307" s="57">
        <f t="shared" si="1297"/>
        <v>80</v>
      </c>
    </row>
    <row r="4308" spans="1:14" x14ac:dyDescent="0.25">
      <c r="A4308">
        <v>154</v>
      </c>
      <c r="B4308" s="1">
        <v>44174</v>
      </c>
      <c r="C4308" s="57" t="str">
        <f>IF(Ventas[[#This Row],[Fecha ]]="","",+TEXT(B4308,"mmmm"))</f>
        <v>diciembre</v>
      </c>
      <c r="D4308" s="57" t="str">
        <f>IFERROR(+VLOOKUP(Ventas[[#This Row],[Codigo de Producto]],Productos[#All],3,FALSE),"")</f>
        <v>Separadores</v>
      </c>
      <c r="E4308" t="s">
        <v>720</v>
      </c>
      <c r="F4308" s="57" t="str">
        <f>IFERROR(+VLOOKUP(Ventas[[#This Row],[Codigo de Producto]],Productos[#All],4,FALSE),"")</f>
        <v>Separadores de 3 mm</v>
      </c>
      <c r="G4308">
        <v>1</v>
      </c>
      <c r="H4308">
        <v>35</v>
      </c>
      <c r="I4308" s="57">
        <f>IF(Ventas[[#This Row],[Cantidad]]="","",+Ventas[[#This Row],[Cantidad]]*Ventas[[#This Row],[Precio]])</f>
        <v>35</v>
      </c>
      <c r="J4308" s="57" t="str">
        <f>IFERROR(+VLOOKUP(Ventas[[#This Row],[Codigo de Producto]],Productos[#All],2,FALSE),"")</f>
        <v>Silco</v>
      </c>
      <c r="K4308" s="57">
        <f>IFERROR(+VLOOKUP(Ventas[[#This Row],[Codigo de Producto]],Productos[#All],9,FALSE),"")</f>
        <v>26</v>
      </c>
      <c r="M4308" s="57">
        <f t="shared" si="1296"/>
        <v>26</v>
      </c>
      <c r="N4308" s="57">
        <f t="shared" si="1297"/>
        <v>9</v>
      </c>
    </row>
    <row r="4309" spans="1:14" x14ac:dyDescent="0.25">
      <c r="A4309">
        <v>155</v>
      </c>
      <c r="B4309" s="1">
        <v>44174</v>
      </c>
      <c r="C4309" s="57" t="str">
        <f>IF(Ventas[[#This Row],[Fecha ]]="","",+TEXT(B4309,"mmmm"))</f>
        <v>diciembre</v>
      </c>
      <c r="D4309" s="57" t="str">
        <f>IFERROR(+VLOOKUP(Ventas[[#This Row],[Codigo de Producto]],Productos[#All],3,FALSE),"")</f>
        <v>Azulejos</v>
      </c>
      <c r="E4309" t="s">
        <v>870</v>
      </c>
      <c r="F4309" s="57" t="str">
        <f>IFERROR(+VLOOKUP(Ventas[[#This Row],[Codigo de Producto]],Productos[#All],4,FALSE),"")</f>
        <v>Andes Plus Blanco</v>
      </c>
      <c r="G4309">
        <v>3</v>
      </c>
      <c r="H4309">
        <v>300</v>
      </c>
      <c r="I4309" s="57">
        <f>IF(Ventas[[#This Row],[Cantidad]]="","",+Ventas[[#This Row],[Cantidad]]*Ventas[[#This Row],[Precio]])</f>
        <v>900</v>
      </c>
      <c r="J4309" s="57" t="str">
        <f>IFERROR(+VLOOKUP(Ventas[[#This Row],[Codigo de Producto]],Productos[#All],2,FALSE),"")</f>
        <v>Comasa</v>
      </c>
      <c r="K4309" s="57">
        <f ca="1">IFERROR(+VLOOKUP(Ventas[[#This Row],[Codigo de Producto]],Productos[#All],9,FALSE),"")</f>
        <v>272</v>
      </c>
      <c r="M4309" s="57">
        <f t="shared" ca="1" si="1296"/>
        <v>816</v>
      </c>
      <c r="N4309" s="57">
        <f t="shared" ca="1" si="1297"/>
        <v>84</v>
      </c>
    </row>
    <row r="4310" spans="1:14" x14ac:dyDescent="0.25">
      <c r="A4310">
        <v>156</v>
      </c>
      <c r="B4310" s="1">
        <v>44174</v>
      </c>
      <c r="C4310" s="57" t="str">
        <f>IF(Ventas[[#This Row],[Fecha ]]="","",+TEXT(B4310,"mmmm"))</f>
        <v>diciembre</v>
      </c>
      <c r="D4310" s="57" t="str">
        <f>IFERROR(+VLOOKUP(Ventas[[#This Row],[Codigo de Producto]],Productos[#All],3,FALSE),"")</f>
        <v>Fachaleta</v>
      </c>
      <c r="E4310" t="s">
        <v>846</v>
      </c>
      <c r="F4310" s="57" t="str">
        <f>IFERROR(+VLOOKUP(Ventas[[#This Row],[Codigo de Producto]],Productos[#All],4,FALSE),"")</f>
        <v>Creta Marrón</v>
      </c>
      <c r="G4310">
        <v>4</v>
      </c>
      <c r="H4310">
        <v>400</v>
      </c>
      <c r="I4310" s="57">
        <f>IF(Ventas[[#This Row],[Cantidad]]="","",+Ventas[[#This Row],[Cantidad]]*Ventas[[#This Row],[Precio]])</f>
        <v>1600</v>
      </c>
      <c r="J4310" s="57" t="s">
        <v>13</v>
      </c>
      <c r="K4310" s="57">
        <f>IFERROR(+VLOOKUP(Ventas[[#This Row],[Codigo de Producto]],Productos[#All],9,FALSE),"")</f>
        <v>335</v>
      </c>
      <c r="M4310" s="57">
        <f t="shared" si="1296"/>
        <v>1340</v>
      </c>
      <c r="N4310" s="57">
        <f t="shared" si="1297"/>
        <v>260</v>
      </c>
    </row>
    <row r="4311" spans="1:14" x14ac:dyDescent="0.25">
      <c r="A4311">
        <v>157</v>
      </c>
      <c r="B4311" s="1">
        <v>44174</v>
      </c>
      <c r="C4311" s="57" t="str">
        <f>IF(Ventas[[#This Row],[Fecha ]]="","",+TEXT(B4311,"mmmm"))</f>
        <v>diciembre</v>
      </c>
      <c r="D4311" s="57" t="str">
        <f>IFERROR(+VLOOKUP(Ventas[[#This Row],[Codigo de Producto]],Productos[#All],3,FALSE),"")</f>
        <v>Bond</v>
      </c>
      <c r="E4311" t="s">
        <v>704</v>
      </c>
      <c r="F4311" s="57" t="str">
        <f>IFERROR(+VLOOKUP(Ventas[[#This Row],[Codigo de Producto]],Productos[#All],4,FALSE),"")</f>
        <v>Drytec Bond Plus</v>
      </c>
      <c r="G4311">
        <v>2</v>
      </c>
      <c r="H4311">
        <v>155</v>
      </c>
      <c r="I4311" s="57">
        <f>IF(Ventas[[#This Row],[Cantidad]]="","",+Ventas[[#This Row],[Cantidad]]*Ventas[[#This Row],[Precio]])</f>
        <v>310</v>
      </c>
      <c r="J4311" s="57" t="str">
        <f>IFERROR(+VLOOKUP(Ventas[[#This Row],[Codigo de Producto]],Productos[#All],2,FALSE),"")</f>
        <v>Comasa</v>
      </c>
      <c r="K4311" s="57">
        <f>IFERROR(+VLOOKUP(Ventas[[#This Row],[Codigo de Producto]],Productos[#All],9,FALSE),"")</f>
        <v>127</v>
      </c>
      <c r="M4311" s="57">
        <f t="shared" si="1296"/>
        <v>254</v>
      </c>
      <c r="N4311" s="57">
        <f t="shared" si="1297"/>
        <v>56</v>
      </c>
    </row>
    <row r="4312" spans="1:14" x14ac:dyDescent="0.25">
      <c r="A4312">
        <v>158</v>
      </c>
      <c r="B4312" s="1">
        <v>44175</v>
      </c>
      <c r="C4312" s="57" t="str">
        <f>IF(Ventas[[#This Row],[Fecha ]]="","",+TEXT(B4312,"mmmm"))</f>
        <v>diciembre</v>
      </c>
      <c r="D4312" s="57" t="str">
        <f>IFERROR(+VLOOKUP(Ventas[[#This Row],[Codigo de Producto]],Productos[#All],3,FALSE),"")</f>
        <v>Cerámica</v>
      </c>
      <c r="E4312" t="s">
        <v>871</v>
      </c>
      <c r="F4312" s="57" t="str">
        <f>IFERROR(+VLOOKUP(Ventas[[#This Row],[Codigo de Producto]],Productos[#All],4,FALSE),"")</f>
        <v>Piso Incenor Plain White 58x58</v>
      </c>
      <c r="G4312">
        <v>2</v>
      </c>
      <c r="H4312">
        <v>255</v>
      </c>
      <c r="I4312" s="57">
        <f>IF(Ventas[[#This Row],[Cantidad]]="","",+Ventas[[#This Row],[Cantidad]]*Ventas[[#This Row],[Precio]])</f>
        <v>510</v>
      </c>
      <c r="J4312" s="57" t="str">
        <f>IFERROR(+VLOOKUP(Ventas[[#This Row],[Codigo de Producto]],Productos[#All],2,FALSE),"")</f>
        <v>Halcón</v>
      </c>
      <c r="K4312" s="57">
        <f ca="1">IFERROR(+VLOOKUP(Ventas[[#This Row],[Codigo de Producto]],Productos[#All],9,FALSE),"")</f>
        <v>225</v>
      </c>
      <c r="M4312" s="57">
        <f t="shared" ca="1" si="1296"/>
        <v>450</v>
      </c>
      <c r="N4312" s="57">
        <f t="shared" ca="1" si="1297"/>
        <v>60</v>
      </c>
    </row>
    <row r="4313" spans="1:14" x14ac:dyDescent="0.25">
      <c r="A4313">
        <v>159</v>
      </c>
      <c r="B4313" s="1">
        <v>44175</v>
      </c>
      <c r="C4313" s="57" t="str">
        <f>IF(Ventas[[#This Row],[Fecha ]]="","",+TEXT(B4313,"mmmm"))</f>
        <v>diciembre</v>
      </c>
      <c r="D4313" s="57" t="str">
        <f>IFERROR(+VLOOKUP(Ventas[[#This Row],[Codigo de Producto]],Productos[#All],3,FALSE),"")</f>
        <v>Fachaleta</v>
      </c>
      <c r="E4313" t="s">
        <v>666</v>
      </c>
      <c r="F4313" s="57" t="str">
        <f>IFERROR(+VLOOKUP(Ventas[[#This Row],[Codigo de Producto]],Productos[#All],4,FALSE),"")</f>
        <v>Alabastro Rodeno</v>
      </c>
      <c r="G4313">
        <v>1</v>
      </c>
      <c r="H4313">
        <v>420</v>
      </c>
      <c r="I4313" s="57">
        <f>IF(Ventas[[#This Row],[Cantidad]]="","",+Ventas[[#This Row],[Cantidad]]*Ventas[[#This Row],[Precio]])</f>
        <v>420</v>
      </c>
      <c r="J4313" s="57" t="str">
        <f>IFERROR(+VLOOKUP(Ventas[[#This Row],[Codigo de Producto]],Productos[#All],2,FALSE),"")</f>
        <v>Dispiasa</v>
      </c>
      <c r="K4313" s="57">
        <f>IFERROR(+VLOOKUP(Ventas[[#This Row],[Codigo de Producto]],Productos[#All],9,FALSE),"")</f>
        <v>332</v>
      </c>
      <c r="M4313" s="57">
        <f t="shared" si="1296"/>
        <v>332</v>
      </c>
      <c r="N4313" s="57">
        <f t="shared" si="1297"/>
        <v>88</v>
      </c>
    </row>
    <row r="4314" spans="1:14" x14ac:dyDescent="0.25">
      <c r="A4314">
        <v>160</v>
      </c>
      <c r="B4314" s="1">
        <v>44175</v>
      </c>
      <c r="C4314" s="57" t="str">
        <f>IF(Ventas[[#This Row],[Fecha ]]="","",+TEXT(B4314,"mmmm"))</f>
        <v>diciembre</v>
      </c>
      <c r="D4314" s="57" t="str">
        <f>IFERROR(+VLOOKUP(Ventas[[#This Row],[Codigo de Producto]],Productos[#All],3,FALSE),"")</f>
        <v>Iluminación</v>
      </c>
      <c r="E4314" t="s">
        <v>767</v>
      </c>
      <c r="F4314" s="57" t="str">
        <f>IFERROR(+VLOOKUP(Ventas[[#This Row],[Codigo de Producto]],Productos[#All],4,FALSE),"")</f>
        <v>Bujía espiral IML 27w</v>
      </c>
      <c r="G4314">
        <v>1</v>
      </c>
      <c r="H4314">
        <v>75</v>
      </c>
      <c r="I4314" s="57">
        <f>IF(Ventas[[#This Row],[Cantidad]]="","",+Ventas[[#This Row],[Cantidad]]*Ventas[[#This Row],[Precio]])</f>
        <v>75</v>
      </c>
      <c r="J4314" s="57" t="str">
        <f>IFERROR(+VLOOKUP(Ventas[[#This Row],[Codigo de Producto]],Productos[#All],2,FALSE),"")</f>
        <v>Magaña</v>
      </c>
      <c r="K4314" s="57">
        <f ca="1">IFERROR(+VLOOKUP(Ventas[[#This Row],[Codigo de Producto]],Productos[#All],9,FALSE),"")</f>
        <v>0</v>
      </c>
      <c r="M4314" s="57" t="str">
        <f t="shared" ca="1" si="1296"/>
        <v/>
      </c>
      <c r="N4314" s="57" t="str">
        <f t="shared" ca="1" si="1297"/>
        <v/>
      </c>
    </row>
    <row r="4315" spans="1:14" x14ac:dyDescent="0.25">
      <c r="A4315">
        <v>161</v>
      </c>
      <c r="B4315" s="1">
        <v>44175</v>
      </c>
      <c r="C4315" s="57" t="str">
        <f>IF(Ventas[[#This Row],[Fecha ]]="","",+TEXT(B4315,"mmmm"))</f>
        <v>diciembre</v>
      </c>
      <c r="D4315" s="57" t="str">
        <f>IFERROR(+VLOOKUP(Ventas[[#This Row],[Codigo de Producto]],Productos[#All],3,FALSE),"")</f>
        <v>Azulejos</v>
      </c>
      <c r="E4315" t="s">
        <v>640</v>
      </c>
      <c r="F4315" s="57" t="str">
        <f>IFERROR(+VLOOKUP(Ventas[[#This Row],[Codigo de Producto]],Productos[#All],4,FALSE),"")</f>
        <v>Marsella Visón</v>
      </c>
      <c r="G4315">
        <v>1.41</v>
      </c>
      <c r="H4315">
        <v>300</v>
      </c>
      <c r="I4315" s="57">
        <f>IF(Ventas[[#This Row],[Cantidad]]="","",+Ventas[[#This Row],[Cantidad]]*Ventas[[#This Row],[Precio]])</f>
        <v>423</v>
      </c>
      <c r="J4315" s="57" t="str">
        <f>IFERROR(+VLOOKUP(Ventas[[#This Row],[Codigo de Producto]],Productos[#All],2,FALSE),"")</f>
        <v>Dispiasa</v>
      </c>
      <c r="K4315" s="57">
        <f>IFERROR(+VLOOKUP(Ventas[[#This Row],[Codigo de Producto]],Productos[#All],9,FALSE),"")</f>
        <v>268</v>
      </c>
      <c r="M4315" s="57">
        <f t="shared" si="1296"/>
        <v>377.88</v>
      </c>
      <c r="N4315" s="57">
        <f t="shared" si="1297"/>
        <v>45.120000000000005</v>
      </c>
    </row>
    <row r="4316" spans="1:14" x14ac:dyDescent="0.25">
      <c r="A4316">
        <v>162</v>
      </c>
      <c r="B4316" s="1">
        <v>44175</v>
      </c>
      <c r="C4316" s="57" t="str">
        <f>IF(Ventas[[#This Row],[Fecha ]]="","",+TEXT(B4316,"mmmm"))</f>
        <v>diciembre</v>
      </c>
      <c r="D4316" s="57" t="str">
        <f>IFERROR(+VLOOKUP(Ventas[[#This Row],[Codigo de Producto]],Productos[#All],3,FALSE),"")</f>
        <v>Separadores</v>
      </c>
      <c r="E4316" t="s">
        <v>720</v>
      </c>
      <c r="F4316" s="57" t="str">
        <f>IFERROR(+VLOOKUP(Ventas[[#This Row],[Codigo de Producto]],Productos[#All],4,FALSE),"")</f>
        <v>Separadores de 3 mm</v>
      </c>
      <c r="G4316">
        <v>1</v>
      </c>
      <c r="H4316">
        <v>35</v>
      </c>
      <c r="I4316" s="57">
        <f>IF(Ventas[[#This Row],[Cantidad]]="","",+Ventas[[#This Row],[Cantidad]]*Ventas[[#This Row],[Precio]])</f>
        <v>35</v>
      </c>
      <c r="J4316" s="57" t="str">
        <f>IFERROR(+VLOOKUP(Ventas[[#This Row],[Codigo de Producto]],Productos[#All],2,FALSE),"")</f>
        <v>Silco</v>
      </c>
      <c r="K4316" s="57">
        <f>IFERROR(+VLOOKUP(Ventas[[#This Row],[Codigo de Producto]],Productos[#All],9,FALSE),"")</f>
        <v>26</v>
      </c>
      <c r="M4316" s="57">
        <f t="shared" si="1296"/>
        <v>26</v>
      </c>
      <c r="N4316" s="57">
        <f t="shared" si="1297"/>
        <v>9</v>
      </c>
    </row>
    <row r="4317" spans="1:14" x14ac:dyDescent="0.25">
      <c r="A4317">
        <v>163</v>
      </c>
      <c r="B4317" s="1">
        <v>44175</v>
      </c>
      <c r="C4317" s="57" t="str">
        <f>IF(Ventas[[#This Row],[Fecha ]]="","",+TEXT(B4317,"mmmm"))</f>
        <v>diciembre</v>
      </c>
      <c r="D4317" s="57" t="str">
        <f>IFERROR(+VLOOKUP(Ventas[[#This Row],[Codigo de Producto]],Productos[#All],3,FALSE),"")</f>
        <v>Porcelana</v>
      </c>
      <c r="E4317" t="s">
        <v>708</v>
      </c>
      <c r="F4317" s="57" t="str">
        <f>IFERROR(+VLOOKUP(Ventas[[#This Row],[Codigo de Producto]],Productos[#All],4,FALSE),"")</f>
        <v xml:space="preserve">Porcelana Maya </v>
      </c>
      <c r="G4317">
        <v>1</v>
      </c>
      <c r="H4317">
        <v>60</v>
      </c>
      <c r="I4317" s="57">
        <f>IF(Ventas[[#This Row],[Cantidad]]="","",+Ventas[[#This Row],[Cantidad]]*Ventas[[#This Row],[Precio]])</f>
        <v>60</v>
      </c>
      <c r="J4317" s="57" t="str">
        <f>IFERROR(+VLOOKUP(Ventas[[#This Row],[Codigo de Producto]],Productos[#All],2,FALSE),"")</f>
        <v>Martinez</v>
      </c>
      <c r="K4317" s="57">
        <f>IFERROR(+VLOOKUP(Ventas[[#This Row],[Codigo de Producto]],Productos[#All],9,FALSE),"")</f>
        <v>33.333333333333336</v>
      </c>
      <c r="M4317" s="57">
        <f t="shared" ref="M4317:M4348" si="1298">+IF(K4317=0,(""),(K4317*G4317))</f>
        <v>33.333333333333336</v>
      </c>
      <c r="N4317" s="57">
        <f t="shared" ref="N4317:N4348" si="1299">+IF(K4317=0,(""),(I4317-M4317))</f>
        <v>26.666666666666664</v>
      </c>
    </row>
    <row r="4318" spans="1:14" x14ac:dyDescent="0.25">
      <c r="A4318">
        <v>164</v>
      </c>
      <c r="B4318" s="1">
        <v>44175</v>
      </c>
      <c r="C4318" s="57" t="str">
        <f>IF(Ventas[[#This Row],[Fecha ]]="","",+TEXT(B4318,"mmmm"))</f>
        <v>diciembre</v>
      </c>
      <c r="D4318" s="57" t="str">
        <f>IFERROR(+VLOOKUP(Ventas[[#This Row],[Codigo de Producto]],Productos[#All],3,FALSE),"")</f>
        <v>Cerámica</v>
      </c>
      <c r="E4318" t="s">
        <v>905</v>
      </c>
      <c r="F4318" s="57" t="str">
        <f>IFERROR(+VLOOKUP(Ventas[[#This Row],[Codigo de Producto]],Productos[#All],4,FALSE),"")</f>
        <v>Carrara Blanco</v>
      </c>
      <c r="G4318">
        <v>1</v>
      </c>
      <c r="H4318">
        <v>265</v>
      </c>
      <c r="I4318" s="57">
        <f>IF(Ventas[[#This Row],[Cantidad]]="","",+Ventas[[#This Row],[Cantidad]]*Ventas[[#This Row],[Precio]])</f>
        <v>265</v>
      </c>
      <c r="J4318" s="57" t="str">
        <f>IFERROR(+VLOOKUP(Ventas[[#This Row],[Codigo de Producto]],Productos[#All],2,FALSE),"")</f>
        <v>Comasa</v>
      </c>
      <c r="K4318" s="57">
        <f ca="1">IFERROR(+VLOOKUP(Ventas[[#This Row],[Codigo de Producto]],Productos[#All],9,FALSE),"")</f>
        <v>237</v>
      </c>
      <c r="M4318" s="57">
        <f t="shared" ca="1" si="1298"/>
        <v>237</v>
      </c>
      <c r="N4318" s="57">
        <f t="shared" ca="1" si="1299"/>
        <v>28</v>
      </c>
    </row>
    <row r="4319" spans="1:14" x14ac:dyDescent="0.25">
      <c r="A4319">
        <v>165</v>
      </c>
      <c r="B4319" s="1">
        <v>44175</v>
      </c>
      <c r="C4319" s="57" t="str">
        <f>IF(Ventas[[#This Row],[Fecha ]]="","",+TEXT(B4319,"mmmm"))</f>
        <v>diciembre</v>
      </c>
      <c r="D4319" s="57" t="str">
        <f>IFERROR(+VLOOKUP(Ventas[[#This Row],[Codigo de Producto]],Productos[#All],3,FALSE),"")</f>
        <v>Cerámica</v>
      </c>
      <c r="E4319" t="s">
        <v>901</v>
      </c>
      <c r="F4319" s="57" t="str">
        <f>IFERROR(+VLOOKUP(Ventas[[#This Row],[Codigo de Producto]],Productos[#All],4,FALSE),"")</f>
        <v>722 Azul</v>
      </c>
      <c r="G4319">
        <v>9</v>
      </c>
      <c r="H4319">
        <v>240</v>
      </c>
      <c r="I4319" s="57">
        <f>IF(Ventas[[#This Row],[Cantidad]]="","",+Ventas[[#This Row],[Cantidad]]*Ventas[[#This Row],[Precio]])</f>
        <v>2160</v>
      </c>
      <c r="J4319" s="57" t="str">
        <f>IFERROR(+VLOOKUP(Ventas[[#This Row],[Codigo de Producto]],Productos[#All],2,FALSE),"")</f>
        <v>Dispiasa</v>
      </c>
      <c r="K4319" s="57">
        <f ca="1">IFERROR(+VLOOKUP(Ventas[[#This Row],[Codigo de Producto]],Productos[#All],9,FALSE),"")</f>
        <v>207</v>
      </c>
      <c r="M4319" s="57">
        <f t="shared" ca="1" si="1298"/>
        <v>1863</v>
      </c>
      <c r="N4319" s="57">
        <f t="shared" ca="1" si="1299"/>
        <v>297</v>
      </c>
    </row>
    <row r="4320" spans="1:14" x14ac:dyDescent="0.25">
      <c r="A4320">
        <v>166</v>
      </c>
      <c r="B4320" s="1">
        <v>44175</v>
      </c>
      <c r="C4320" s="57" t="str">
        <f>IF(Ventas[[#This Row],[Fecha ]]="","",+TEXT(B4320,"mmmm"))</f>
        <v>diciembre</v>
      </c>
      <c r="D4320" s="57" t="str">
        <f>IFERROR(+VLOOKUP(Ventas[[#This Row],[Codigo de Producto]],Productos[#All],3,FALSE),"")</f>
        <v>Porcelana</v>
      </c>
      <c r="E4320" t="s">
        <v>708</v>
      </c>
      <c r="F4320" s="57" t="str">
        <f>IFERROR(+VLOOKUP(Ventas[[#This Row],[Codigo de Producto]],Productos[#All],4,FALSE),"")</f>
        <v xml:space="preserve">Porcelana Maya </v>
      </c>
      <c r="G4320">
        <v>1</v>
      </c>
      <c r="H4320">
        <v>60</v>
      </c>
      <c r="I4320" s="57">
        <f>IF(Ventas[[#This Row],[Cantidad]]="","",+Ventas[[#This Row],[Cantidad]]*Ventas[[#This Row],[Precio]])</f>
        <v>60</v>
      </c>
      <c r="J4320" s="57" t="str">
        <f>IFERROR(+VLOOKUP(Ventas[[#This Row],[Codigo de Producto]],Productos[#All],2,FALSE),"")</f>
        <v>Martinez</v>
      </c>
      <c r="K4320" s="57">
        <f>IFERROR(+VLOOKUP(Ventas[[#This Row],[Codigo de Producto]],Productos[#All],9,FALSE),"")</f>
        <v>33.333333333333336</v>
      </c>
      <c r="M4320" s="57">
        <f t="shared" si="1298"/>
        <v>33.333333333333336</v>
      </c>
      <c r="N4320" s="57">
        <f t="shared" si="1299"/>
        <v>26.666666666666664</v>
      </c>
    </row>
    <row r="4321" spans="1:14" x14ac:dyDescent="0.25">
      <c r="A4321">
        <v>167</v>
      </c>
      <c r="B4321" s="1">
        <v>44175</v>
      </c>
      <c r="C4321" s="57" t="str">
        <f>IF(Ventas[[#This Row],[Fecha ]]="","",+TEXT(B4321,"mmmm"))</f>
        <v>diciembre</v>
      </c>
      <c r="D4321" s="57" t="str">
        <f>IFERROR(+VLOOKUP(Ventas[[#This Row],[Codigo de Producto]],Productos[#All],3,FALSE),"")</f>
        <v>Bond</v>
      </c>
      <c r="E4321" t="s">
        <v>704</v>
      </c>
      <c r="F4321" s="57" t="str">
        <f>IFERROR(+VLOOKUP(Ventas[[#This Row],[Codigo de Producto]],Productos[#All],4,FALSE),"")</f>
        <v>Drytec Bond Plus</v>
      </c>
      <c r="G4321">
        <v>2</v>
      </c>
      <c r="H4321">
        <v>155</v>
      </c>
      <c r="I4321" s="57">
        <f>IF(Ventas[[#This Row],[Cantidad]]="","",+Ventas[[#This Row],[Cantidad]]*Ventas[[#This Row],[Precio]])</f>
        <v>310</v>
      </c>
      <c r="J4321" s="57" t="str">
        <f>IFERROR(+VLOOKUP(Ventas[[#This Row],[Codigo de Producto]],Productos[#All],2,FALSE),"")</f>
        <v>Comasa</v>
      </c>
      <c r="K4321" s="57">
        <f>IFERROR(+VLOOKUP(Ventas[[#This Row],[Codigo de Producto]],Productos[#All],9,FALSE),"")</f>
        <v>127</v>
      </c>
      <c r="M4321" s="57">
        <f t="shared" si="1298"/>
        <v>254</v>
      </c>
      <c r="N4321" s="57">
        <f t="shared" si="1299"/>
        <v>56</v>
      </c>
    </row>
    <row r="4322" spans="1:14" x14ac:dyDescent="0.25">
      <c r="A4322">
        <v>168</v>
      </c>
      <c r="B4322" s="1">
        <v>44175</v>
      </c>
      <c r="C4322" s="57" t="str">
        <f>IF(Ventas[[#This Row],[Fecha ]]="","",+TEXT(B4322,"mmmm"))</f>
        <v>diciembre</v>
      </c>
      <c r="D4322" s="57" t="str">
        <f>IFERROR(+VLOOKUP(Ventas[[#This Row],[Codigo de Producto]],Productos[#All],3,FALSE),"")</f>
        <v>Cerámica</v>
      </c>
      <c r="E4322" t="s">
        <v>625</v>
      </c>
      <c r="F4322" s="57" t="str">
        <f>IFERROR(+VLOOKUP(Ventas[[#This Row],[Codigo de Producto]],Productos[#All],4,FALSE),"")</f>
        <v>Florencia Beige</v>
      </c>
      <c r="G4322">
        <v>20</v>
      </c>
      <c r="H4322">
        <v>295</v>
      </c>
      <c r="I4322" s="57">
        <f>IF(Ventas[[#This Row],[Cantidad]]="","",+Ventas[[#This Row],[Cantidad]]*Ventas[[#This Row],[Precio]])</f>
        <v>5900</v>
      </c>
      <c r="J4322" s="57" t="s">
        <v>163</v>
      </c>
      <c r="K4322" s="57">
        <f>IFERROR(+VLOOKUP(Ventas[[#This Row],[Codigo de Producto]],Productos[#All],9,FALSE),"")</f>
        <v>268</v>
      </c>
      <c r="M4322" s="57">
        <f t="shared" si="1298"/>
        <v>5360</v>
      </c>
      <c r="N4322" s="57">
        <f t="shared" si="1299"/>
        <v>540</v>
      </c>
    </row>
    <row r="4323" spans="1:14" x14ac:dyDescent="0.25">
      <c r="A4323">
        <v>169</v>
      </c>
      <c r="B4323" s="1">
        <v>44175</v>
      </c>
      <c r="C4323" s="57" t="str">
        <f>IF(Ventas[[#This Row],[Fecha ]]="","",+TEXT(B4323,"mmmm"))</f>
        <v>diciembre</v>
      </c>
      <c r="D4323" s="57" t="str">
        <f>IFERROR(+VLOOKUP(Ventas[[#This Row],[Codigo de Producto]],Productos[#All],3,FALSE),"")</f>
        <v>Bond</v>
      </c>
      <c r="E4323" t="s">
        <v>704</v>
      </c>
      <c r="F4323" s="57" t="str">
        <f>IFERROR(+VLOOKUP(Ventas[[#This Row],[Codigo de Producto]],Productos[#All],4,FALSE),"")</f>
        <v>Drytec Bond Plus</v>
      </c>
      <c r="G4323">
        <v>5</v>
      </c>
      <c r="H4323">
        <v>155</v>
      </c>
      <c r="I4323" s="57">
        <f>IF(Ventas[[#This Row],[Cantidad]]="","",+Ventas[[#This Row],[Cantidad]]*Ventas[[#This Row],[Precio]])</f>
        <v>775</v>
      </c>
      <c r="J4323" s="57" t="str">
        <f>IFERROR(+VLOOKUP(Ventas[[#This Row],[Codigo de Producto]],Productos[#All],2,FALSE),"")</f>
        <v>Comasa</v>
      </c>
      <c r="K4323" s="57">
        <f>IFERROR(+VLOOKUP(Ventas[[#This Row],[Codigo de Producto]],Productos[#All],9,FALSE),"")</f>
        <v>127</v>
      </c>
      <c r="M4323" s="57">
        <f t="shared" si="1298"/>
        <v>635</v>
      </c>
      <c r="N4323" s="57">
        <f t="shared" si="1299"/>
        <v>140</v>
      </c>
    </row>
    <row r="4324" spans="1:14" x14ac:dyDescent="0.25">
      <c r="A4324">
        <v>170</v>
      </c>
      <c r="B4324" s="1">
        <v>44175</v>
      </c>
      <c r="C4324" s="57" t="str">
        <f>IF(Ventas[[#This Row],[Fecha ]]="","",+TEXT(B4324,"mmmm"))</f>
        <v>diciembre</v>
      </c>
      <c r="D4324" s="57" t="str">
        <f>IFERROR(+VLOOKUP(Ventas[[#This Row],[Codigo de Producto]],Productos[#All],3,FALSE),"")</f>
        <v>Azulejos</v>
      </c>
      <c r="E4324" t="s">
        <v>636</v>
      </c>
      <c r="F4324" s="57" t="str">
        <f>IFERROR(+VLOOKUP(Ventas[[#This Row],[Codigo de Producto]],Productos[#All],4,FALSE),"")</f>
        <v>Calpe Blanco</v>
      </c>
      <c r="G4324">
        <v>2.5</v>
      </c>
      <c r="H4324">
        <v>300</v>
      </c>
      <c r="I4324" s="57">
        <f>IF(Ventas[[#This Row],[Cantidad]]="","",+Ventas[[#This Row],[Cantidad]]*Ventas[[#This Row],[Precio]])</f>
        <v>750</v>
      </c>
      <c r="J4324" s="57" t="str">
        <f>IFERROR(+VLOOKUP(Ventas[[#This Row],[Codigo de Producto]],Productos[#All],2,FALSE),"")</f>
        <v>Dispiasa</v>
      </c>
      <c r="K4324" s="57">
        <f>IFERROR(+VLOOKUP(Ventas[[#This Row],[Codigo de Producto]],Productos[#All],9,FALSE),"")</f>
        <v>268</v>
      </c>
      <c r="M4324" s="57">
        <f t="shared" si="1298"/>
        <v>670</v>
      </c>
      <c r="N4324" s="57">
        <f t="shared" si="1299"/>
        <v>80</v>
      </c>
    </row>
    <row r="4325" spans="1:14" x14ac:dyDescent="0.25">
      <c r="A4325">
        <v>171</v>
      </c>
      <c r="B4325" s="1">
        <v>44175</v>
      </c>
      <c r="C4325" s="57" t="str">
        <f>IF(Ventas[[#This Row],[Fecha ]]="","",+TEXT(B4325,"mmmm"))</f>
        <v>diciembre</v>
      </c>
      <c r="D4325" s="57" t="str">
        <f>IFERROR(+VLOOKUP(Ventas[[#This Row],[Codigo de Producto]],Productos[#All],3,FALSE),"")</f>
        <v>Lavamano</v>
      </c>
      <c r="E4325" t="s">
        <v>829</v>
      </c>
      <c r="F4325" s="57" t="str">
        <f>IFERROR(+VLOOKUP(Ventas[[#This Row],[Codigo de Producto]],Productos[#All],4,FALSE),"")</f>
        <v>Trampa Cespol Fama</v>
      </c>
      <c r="G4325">
        <v>1</v>
      </c>
      <c r="H4325">
        <v>80</v>
      </c>
      <c r="I4325" s="57">
        <f>IF(Ventas[[#This Row],[Cantidad]]="","",+Ventas[[#This Row],[Cantidad]]*Ventas[[#This Row],[Precio]])</f>
        <v>80</v>
      </c>
      <c r="J4325" s="57" t="str">
        <f>IFERROR(+VLOOKUP(Ventas[[#This Row],[Codigo de Producto]],Productos[#All],2,FALSE),"")</f>
        <v>Silco</v>
      </c>
      <c r="K4325" s="57">
        <f ca="1">IFERROR(+VLOOKUP(Ventas[[#This Row],[Codigo de Producto]],Productos[#All],9,FALSE),"")</f>
        <v>0</v>
      </c>
      <c r="M4325" s="57" t="str">
        <f t="shared" ca="1" si="1298"/>
        <v/>
      </c>
      <c r="N4325" s="57" t="str">
        <f t="shared" ca="1" si="1299"/>
        <v/>
      </c>
    </row>
    <row r="4326" spans="1:14" x14ac:dyDescent="0.25">
      <c r="A4326">
        <v>172</v>
      </c>
      <c r="B4326" s="1">
        <v>44175</v>
      </c>
      <c r="C4326" s="57" t="str">
        <f>IF(Ventas[[#This Row],[Fecha ]]="","",+TEXT(B4326,"mmmm"))</f>
        <v>diciembre</v>
      </c>
      <c r="D4326" s="57" t="str">
        <f>IFERROR(+VLOOKUP(Ventas[[#This Row],[Codigo de Producto]],Productos[#All],3,FALSE),"")</f>
        <v>Bond</v>
      </c>
      <c r="E4326" t="s">
        <v>704</v>
      </c>
      <c r="F4326" s="57" t="str">
        <f>IFERROR(+VLOOKUP(Ventas[[#This Row],[Codigo de Producto]],Productos[#All],4,FALSE),"")</f>
        <v>Drytec Bond Plus</v>
      </c>
      <c r="G4326">
        <v>1</v>
      </c>
      <c r="H4326">
        <v>155</v>
      </c>
      <c r="I4326" s="57">
        <f>IF(Ventas[[#This Row],[Cantidad]]="","",+Ventas[[#This Row],[Cantidad]]*Ventas[[#This Row],[Precio]])</f>
        <v>155</v>
      </c>
      <c r="J4326" s="57" t="str">
        <f>IFERROR(+VLOOKUP(Ventas[[#This Row],[Codigo de Producto]],Productos[#All],2,FALSE),"")</f>
        <v>Comasa</v>
      </c>
      <c r="K4326" s="57">
        <f>IFERROR(+VLOOKUP(Ventas[[#This Row],[Codigo de Producto]],Productos[#All],9,FALSE),"")</f>
        <v>127</v>
      </c>
      <c r="M4326" s="57">
        <f t="shared" si="1298"/>
        <v>127</v>
      </c>
      <c r="N4326" s="57">
        <f t="shared" si="1299"/>
        <v>28</v>
      </c>
    </row>
    <row r="4327" spans="1:14" x14ac:dyDescent="0.25">
      <c r="A4327">
        <v>173</v>
      </c>
      <c r="B4327" s="1">
        <v>44175</v>
      </c>
      <c r="C4327" s="57" t="str">
        <f>IF(Ventas[[#This Row],[Fecha ]]="","",+TEXT(B4327,"mmmm"))</f>
        <v>diciembre</v>
      </c>
      <c r="D4327" s="57" t="str">
        <f>IFERROR(+VLOOKUP(Ventas[[#This Row],[Codigo de Producto]],Productos[#All],3,FALSE),"")</f>
        <v>Porcelana</v>
      </c>
      <c r="E4327" t="s">
        <v>708</v>
      </c>
      <c r="F4327" s="57" t="str">
        <f>IFERROR(+VLOOKUP(Ventas[[#This Row],[Codigo de Producto]],Productos[#All],4,FALSE),"")</f>
        <v xml:space="preserve">Porcelana Maya </v>
      </c>
      <c r="G4327">
        <v>1</v>
      </c>
      <c r="H4327">
        <v>60</v>
      </c>
      <c r="I4327" s="57">
        <f>IF(Ventas[[#This Row],[Cantidad]]="","",+Ventas[[#This Row],[Cantidad]]*Ventas[[#This Row],[Precio]])</f>
        <v>60</v>
      </c>
      <c r="J4327" s="57" t="str">
        <f>IFERROR(+VLOOKUP(Ventas[[#This Row],[Codigo de Producto]],Productos[#All],2,FALSE),"")</f>
        <v>Martinez</v>
      </c>
      <c r="K4327" s="57">
        <f>IFERROR(+VLOOKUP(Ventas[[#This Row],[Codigo de Producto]],Productos[#All],9,FALSE),"")</f>
        <v>33.333333333333336</v>
      </c>
      <c r="M4327" s="57">
        <f t="shared" si="1298"/>
        <v>33.333333333333336</v>
      </c>
      <c r="N4327" s="57">
        <f t="shared" si="1299"/>
        <v>26.666666666666664</v>
      </c>
    </row>
    <row r="4328" spans="1:14" x14ac:dyDescent="0.25">
      <c r="A4328">
        <v>174</v>
      </c>
      <c r="B4328" s="1">
        <v>44175</v>
      </c>
      <c r="C4328" s="57" t="str">
        <f>IF(Ventas[[#This Row],[Fecha ]]="","",+TEXT(B4328,"mmmm"))</f>
        <v>diciembre</v>
      </c>
      <c r="D4328" s="57" t="str">
        <f>IFERROR(+VLOOKUP(Ventas[[#This Row],[Codigo de Producto]],Productos[#All],3,FALSE),"")</f>
        <v>Repello</v>
      </c>
      <c r="E4328" t="s">
        <v>728</v>
      </c>
      <c r="F4328" s="57" t="str">
        <f>IFERROR(+VLOOKUP(Ventas[[#This Row],[Codigo de Producto]],Productos[#All],4,FALSE),"")</f>
        <v>Repello Fino Drytec</v>
      </c>
      <c r="G4328">
        <v>3</v>
      </c>
      <c r="H4328">
        <v>250</v>
      </c>
      <c r="I4328" s="57">
        <f>IF(Ventas[[#This Row],[Cantidad]]="","",+Ventas[[#This Row],[Cantidad]]*Ventas[[#This Row],[Precio]])</f>
        <v>750</v>
      </c>
      <c r="J4328" s="57" t="str">
        <f>IFERROR(+VLOOKUP(Ventas[[#This Row],[Codigo de Producto]],Productos[#All],2,FALSE),"")</f>
        <v>Comasa</v>
      </c>
      <c r="K4328" s="57">
        <f ca="1">IFERROR(+VLOOKUP(Ventas[[#This Row],[Codigo de Producto]],Productos[#All],9,FALSE),"")</f>
        <v>236</v>
      </c>
      <c r="M4328" s="57">
        <f t="shared" ca="1" si="1298"/>
        <v>708</v>
      </c>
      <c r="N4328" s="57">
        <f t="shared" ca="1" si="1299"/>
        <v>42</v>
      </c>
    </row>
    <row r="4329" spans="1:14" x14ac:dyDescent="0.25">
      <c r="A4329">
        <v>175</v>
      </c>
      <c r="B4329" s="1">
        <v>44175</v>
      </c>
      <c r="C4329" s="57" t="str">
        <f>IF(Ventas[[#This Row],[Fecha ]]="","",+TEXT(B4329,"mmmm"))</f>
        <v>diciembre</v>
      </c>
      <c r="D4329" s="57" t="str">
        <f>IFERROR(+VLOOKUP(Ventas[[#This Row],[Codigo de Producto]],Productos[#All],3,FALSE),"")</f>
        <v>Cerámica</v>
      </c>
      <c r="E4329" t="s">
        <v>903</v>
      </c>
      <c r="F4329" s="57" t="str">
        <f>IFERROR(+VLOOKUP(Ventas[[#This Row],[Codigo de Producto]],Productos[#All],4,FALSE),"")</f>
        <v>Amazonas Beige</v>
      </c>
      <c r="G4329">
        <v>2</v>
      </c>
      <c r="H4329">
        <v>360</v>
      </c>
      <c r="I4329" s="57">
        <f>IF(Ventas[[#This Row],[Cantidad]]="","",+Ventas[[#This Row],[Cantidad]]*Ventas[[#This Row],[Precio]])</f>
        <v>720</v>
      </c>
      <c r="J4329" s="57" t="str">
        <f>IFERROR(+VLOOKUP(Ventas[[#This Row],[Codigo de Producto]],Productos[#All],2,FALSE),"")</f>
        <v>Dispiasa</v>
      </c>
      <c r="K4329" s="57">
        <f>IFERROR(+VLOOKUP(Ventas[[#This Row],[Codigo de Producto]],Productos[#All],9,FALSE),"")</f>
        <v>306</v>
      </c>
      <c r="M4329" s="57">
        <f t="shared" si="1298"/>
        <v>612</v>
      </c>
      <c r="N4329" s="57">
        <f t="shared" si="1299"/>
        <v>108</v>
      </c>
    </row>
    <row r="4330" spans="1:14" x14ac:dyDescent="0.25">
      <c r="A4330">
        <v>176</v>
      </c>
      <c r="B4330" s="1">
        <v>44175</v>
      </c>
      <c r="C4330" s="57" t="str">
        <f>IF(Ventas[[#This Row],[Fecha ]]="","",+TEXT(B4330,"mmmm"))</f>
        <v>diciembre</v>
      </c>
      <c r="D4330" s="57" t="str">
        <f>IFERROR(+VLOOKUP(Ventas[[#This Row],[Codigo de Producto]],Productos[#All],3,FALSE),"")</f>
        <v>Lavamano</v>
      </c>
      <c r="E4330" t="s">
        <v>714</v>
      </c>
      <c r="F4330" s="57" t="str">
        <f>IFERROR(+VLOOKUP(Ventas[[#This Row],[Codigo de Producto]],Productos[#All],4,FALSE),"")</f>
        <v>Kit de Inodoro Cato</v>
      </c>
      <c r="G4330">
        <v>1</v>
      </c>
      <c r="H4330">
        <v>500</v>
      </c>
      <c r="I4330" s="57">
        <f>IF(Ventas[[#This Row],[Cantidad]]="","",+Ventas[[#This Row],[Cantidad]]*Ventas[[#This Row],[Precio]])</f>
        <v>500</v>
      </c>
      <c r="J4330" s="57" t="str">
        <f>IFERROR(+VLOOKUP(Ventas[[#This Row],[Codigo de Producto]],Productos[#All],2,FALSE),"")</f>
        <v>Comasa</v>
      </c>
      <c r="K4330" s="57">
        <f>IFERROR(+VLOOKUP(Ventas[[#This Row],[Codigo de Producto]],Productos[#All],9,FALSE),"")</f>
        <v>228</v>
      </c>
      <c r="M4330" s="57">
        <f t="shared" si="1298"/>
        <v>228</v>
      </c>
      <c r="N4330" s="57">
        <f t="shared" si="1299"/>
        <v>272</v>
      </c>
    </row>
    <row r="4331" spans="1:14" x14ac:dyDescent="0.25">
      <c r="A4331">
        <v>177</v>
      </c>
      <c r="B4331" s="1">
        <v>44175</v>
      </c>
      <c r="C4331" s="57" t="str">
        <f>IF(Ventas[[#This Row],[Fecha ]]="","",+TEXT(B4331,"mmmm"))</f>
        <v>diciembre</v>
      </c>
      <c r="D4331" s="57" t="str">
        <f>IFERROR(+VLOOKUP(Ventas[[#This Row],[Codigo de Producto]],Productos[#All],3,FALSE),"")</f>
        <v>Otro</v>
      </c>
      <c r="E4331" t="s">
        <v>906</v>
      </c>
      <c r="F4331" s="57" t="str">
        <f>IFERROR(+VLOOKUP(Ventas[[#This Row],[Codigo de Producto]],Productos[#All],4,FALSE),"")</f>
        <v>Haladera</v>
      </c>
      <c r="G4331">
        <v>2</v>
      </c>
      <c r="H4331">
        <v>25</v>
      </c>
      <c r="I4331" s="57">
        <f>IF(Ventas[[#This Row],[Cantidad]]="","",+Ventas[[#This Row],[Cantidad]]*Ventas[[#This Row],[Precio]])</f>
        <v>50</v>
      </c>
      <c r="J4331" s="57" t="str">
        <f>IFERROR(+VLOOKUP(Ventas[[#This Row],[Codigo de Producto]],Productos[#All],2,FALSE),"")</f>
        <v>Silco</v>
      </c>
      <c r="K4331" s="57">
        <f>IFERROR(+VLOOKUP(Ventas[[#This Row],[Codigo de Producto]],Productos[#All],9,FALSE),"")</f>
        <v>20</v>
      </c>
      <c r="M4331" s="57">
        <f t="shared" si="1298"/>
        <v>40</v>
      </c>
      <c r="N4331" s="57">
        <f t="shared" si="1299"/>
        <v>10</v>
      </c>
    </row>
    <row r="4332" spans="1:14" x14ac:dyDescent="0.25">
      <c r="A4332">
        <v>178</v>
      </c>
      <c r="B4332" s="1">
        <v>44175</v>
      </c>
      <c r="C4332" s="57" t="str">
        <f>IF(Ventas[[#This Row],[Fecha ]]="","",+TEXT(B4332,"mmmm"))</f>
        <v>diciembre</v>
      </c>
      <c r="D4332" s="57" t="str">
        <f>IFERROR(+VLOOKUP(Ventas[[#This Row],[Codigo de Producto]],Productos[#All],3,FALSE),"")</f>
        <v>Otro</v>
      </c>
      <c r="E4332" t="s">
        <v>856</v>
      </c>
      <c r="F4332" s="57" t="str">
        <f>IFERROR(+VLOOKUP(Ventas[[#This Row],[Codigo de Producto]],Productos[#All],4,FALSE),"")</f>
        <v>Avería</v>
      </c>
      <c r="G4332">
        <v>2</v>
      </c>
      <c r="H4332">
        <v>80</v>
      </c>
      <c r="I4332" s="57">
        <f>IF(Ventas[[#This Row],[Cantidad]]="","",+Ventas[[#This Row],[Cantidad]]*Ventas[[#This Row],[Precio]])</f>
        <v>160</v>
      </c>
      <c r="J4332" s="57" t="str">
        <f>IFERROR(+VLOOKUP(Ventas[[#This Row],[Codigo de Producto]],Productos[#All],2,FALSE),"")</f>
        <v>Otro</v>
      </c>
      <c r="K4332" s="57">
        <f ca="1">IFERROR(+VLOOKUP(Ventas[[#This Row],[Codigo de Producto]],Productos[#All],9,FALSE),"")</f>
        <v>0</v>
      </c>
      <c r="M4332" s="57" t="str">
        <f t="shared" ca="1" si="1298"/>
        <v/>
      </c>
      <c r="N4332" s="57" t="str">
        <f t="shared" ca="1" si="1299"/>
        <v/>
      </c>
    </row>
    <row r="4333" spans="1:14" x14ac:dyDescent="0.25">
      <c r="A4333">
        <v>179</v>
      </c>
      <c r="B4333" s="1">
        <v>44175</v>
      </c>
      <c r="C4333" s="57" t="str">
        <f>IF(Ventas[[#This Row],[Fecha ]]="","",+TEXT(B4333,"mmmm"))</f>
        <v>diciembre</v>
      </c>
      <c r="D4333" s="57" t="str">
        <f>IFERROR(+VLOOKUP(Ventas[[#This Row],[Codigo de Producto]],Productos[#All],3,FALSE),"")</f>
        <v>Cerámica</v>
      </c>
      <c r="E4333" t="s">
        <v>871</v>
      </c>
      <c r="F4333" s="57" t="str">
        <f>IFERROR(+VLOOKUP(Ventas[[#This Row],[Codigo de Producto]],Productos[#All],4,FALSE),"")</f>
        <v>Piso Incenor Plain White 58x58</v>
      </c>
      <c r="G4333">
        <v>56</v>
      </c>
      <c r="H4333">
        <v>253</v>
      </c>
      <c r="I4333" s="57">
        <f>IF(Ventas[[#This Row],[Cantidad]]="","",+Ventas[[#This Row],[Cantidad]]*Ventas[[#This Row],[Precio]])</f>
        <v>14168</v>
      </c>
      <c r="J4333" s="57" t="str">
        <f>IFERROR(+VLOOKUP(Ventas[[#This Row],[Codigo de Producto]],Productos[#All],2,FALSE),"")</f>
        <v>Halcón</v>
      </c>
      <c r="K4333" s="57">
        <f ca="1">IFERROR(+VLOOKUP(Ventas[[#This Row],[Codigo de Producto]],Productos[#All],9,FALSE),"")</f>
        <v>225</v>
      </c>
      <c r="M4333" s="57">
        <f t="shared" ca="1" si="1298"/>
        <v>12600</v>
      </c>
      <c r="N4333" s="57">
        <f t="shared" ca="1" si="1299"/>
        <v>1568</v>
      </c>
    </row>
    <row r="4334" spans="1:14" x14ac:dyDescent="0.25">
      <c r="A4334">
        <v>180</v>
      </c>
      <c r="B4334" s="1">
        <v>44175</v>
      </c>
      <c r="C4334" s="57" t="str">
        <f>IF(Ventas[[#This Row],[Fecha ]]="","",+TEXT(B4334,"mmmm"))</f>
        <v>diciembre</v>
      </c>
      <c r="D4334" s="57" t="str">
        <f>IFERROR(+VLOOKUP(Ventas[[#This Row],[Codigo de Producto]],Productos[#All],3,FALSE),"")</f>
        <v>Bond</v>
      </c>
      <c r="E4334" t="s">
        <v>704</v>
      </c>
      <c r="F4334" s="57" t="str">
        <f>IFERROR(+VLOOKUP(Ventas[[#This Row],[Codigo de Producto]],Productos[#All],4,FALSE),"")</f>
        <v>Drytec Bond Plus</v>
      </c>
      <c r="G4334">
        <v>15</v>
      </c>
      <c r="H4334">
        <v>150</v>
      </c>
      <c r="I4334" s="57">
        <f>IF(Ventas[[#This Row],[Cantidad]]="","",+Ventas[[#This Row],[Cantidad]]*Ventas[[#This Row],[Precio]])</f>
        <v>2250</v>
      </c>
      <c r="J4334" s="57" t="str">
        <f>IFERROR(+VLOOKUP(Ventas[[#This Row],[Codigo de Producto]],Productos[#All],2,FALSE),"")</f>
        <v>Comasa</v>
      </c>
      <c r="K4334" s="57">
        <f>IFERROR(+VLOOKUP(Ventas[[#This Row],[Codigo de Producto]],Productos[#All],9,FALSE),"")</f>
        <v>127</v>
      </c>
      <c r="M4334" s="57">
        <f t="shared" si="1298"/>
        <v>1905</v>
      </c>
      <c r="N4334" s="57">
        <f t="shared" si="1299"/>
        <v>345</v>
      </c>
    </row>
    <row r="4335" spans="1:14" x14ac:dyDescent="0.25">
      <c r="A4335">
        <v>181</v>
      </c>
      <c r="B4335" s="1">
        <v>44175</v>
      </c>
      <c r="C4335" s="57" t="str">
        <f>IF(Ventas[[#This Row],[Fecha ]]="","",+TEXT(B4335,"mmmm"))</f>
        <v>diciembre</v>
      </c>
      <c r="D4335" s="57" t="str">
        <f>IFERROR(+VLOOKUP(Ventas[[#This Row],[Codigo de Producto]],Productos[#All],3,FALSE),"")</f>
        <v>Porcelana</v>
      </c>
      <c r="E4335" t="s">
        <v>708</v>
      </c>
      <c r="F4335" s="57" t="str">
        <f>IFERROR(+VLOOKUP(Ventas[[#This Row],[Codigo de Producto]],Productos[#All],4,FALSE),"")</f>
        <v xml:space="preserve">Porcelana Maya </v>
      </c>
      <c r="G4335">
        <v>5</v>
      </c>
      <c r="H4335">
        <v>60</v>
      </c>
      <c r="I4335" s="57">
        <f>IF(Ventas[[#This Row],[Cantidad]]="","",+Ventas[[#This Row],[Cantidad]]*Ventas[[#This Row],[Precio]])</f>
        <v>300</v>
      </c>
      <c r="J4335" s="57" t="str">
        <f>IFERROR(+VLOOKUP(Ventas[[#This Row],[Codigo de Producto]],Productos[#All],2,FALSE),"")</f>
        <v>Martinez</v>
      </c>
      <c r="K4335" s="57">
        <f>IFERROR(+VLOOKUP(Ventas[[#This Row],[Codigo de Producto]],Productos[#All],9,FALSE),"")</f>
        <v>33.333333333333336</v>
      </c>
      <c r="M4335" s="57">
        <f t="shared" si="1298"/>
        <v>166.66666666666669</v>
      </c>
      <c r="N4335" s="57">
        <f t="shared" si="1299"/>
        <v>133.33333333333331</v>
      </c>
    </row>
    <row r="4336" spans="1:14" x14ac:dyDescent="0.25">
      <c r="A4336">
        <v>182</v>
      </c>
      <c r="B4336" s="1">
        <v>44175</v>
      </c>
      <c r="C4336" s="57" t="str">
        <f>IF(Ventas[[#This Row],[Fecha ]]="","",+TEXT(B4336,"mmmm"))</f>
        <v>diciembre</v>
      </c>
      <c r="D4336" s="57" t="str">
        <f>IFERROR(+VLOOKUP(Ventas[[#This Row],[Codigo de Producto]],Productos[#All],3,FALSE),"")</f>
        <v>Separadores</v>
      </c>
      <c r="E4336" t="s">
        <v>722</v>
      </c>
      <c r="F4336" s="57" t="str">
        <f>IFERROR(+VLOOKUP(Ventas[[#This Row],[Codigo de Producto]],Productos[#All],4,FALSE),"")</f>
        <v>Separadores de 5 mm</v>
      </c>
      <c r="G4336">
        <v>2</v>
      </c>
      <c r="H4336">
        <v>35</v>
      </c>
      <c r="I4336" s="57">
        <f>IF(Ventas[[#This Row],[Cantidad]]="","",+Ventas[[#This Row],[Cantidad]]*Ventas[[#This Row],[Precio]])</f>
        <v>70</v>
      </c>
      <c r="J4336" s="57" t="str">
        <f>IFERROR(+VLOOKUP(Ventas[[#This Row],[Codigo de Producto]],Productos[#All],2,FALSE),"")</f>
        <v>Silco</v>
      </c>
      <c r="K4336" s="57">
        <f>IFERROR(+VLOOKUP(Ventas[[#This Row],[Codigo de Producto]],Productos[#All],9,FALSE),"")</f>
        <v>22</v>
      </c>
      <c r="M4336" s="57">
        <f t="shared" si="1298"/>
        <v>44</v>
      </c>
      <c r="N4336" s="57">
        <f t="shared" si="1299"/>
        <v>26</v>
      </c>
    </row>
    <row r="4337" spans="1:14" x14ac:dyDescent="0.25">
      <c r="A4337">
        <v>183</v>
      </c>
      <c r="B4337" s="1">
        <v>44175</v>
      </c>
      <c r="C4337" s="57" t="str">
        <f>IF(Ventas[[#This Row],[Fecha ]]="","",+TEXT(B4337,"mmmm"))</f>
        <v>diciembre</v>
      </c>
      <c r="D4337" s="57" t="str">
        <f>IFERROR(+VLOOKUP(Ventas[[#This Row],[Codigo de Producto]],Productos[#All],3,FALSE),"")</f>
        <v>Cerámica</v>
      </c>
      <c r="E4337" t="s">
        <v>908</v>
      </c>
      <c r="F4337" s="57" t="str">
        <f>IFERROR(+VLOOKUP(Ventas[[#This Row],[Codigo de Producto]],Productos[#All],4,FALSE),"")</f>
        <v>Natal Azul</v>
      </c>
      <c r="G4337">
        <v>1</v>
      </c>
      <c r="H4337">
        <v>240</v>
      </c>
      <c r="I4337" s="57">
        <f>IF(Ventas[[#This Row],[Cantidad]]="","",+Ventas[[#This Row],[Cantidad]]*Ventas[[#This Row],[Precio]])</f>
        <v>240</v>
      </c>
      <c r="J4337" s="57" t="str">
        <f>IFERROR(+VLOOKUP(Ventas[[#This Row],[Codigo de Producto]],Productos[#All],2,FALSE),"")</f>
        <v>Dispiasa</v>
      </c>
      <c r="K4337" s="57">
        <f>IFERROR(+VLOOKUP(Ventas[[#This Row],[Codigo de Producto]],Productos[#All],9,FALSE),"")</f>
        <v>207</v>
      </c>
      <c r="M4337" s="57">
        <f t="shared" si="1298"/>
        <v>207</v>
      </c>
      <c r="N4337" s="57">
        <f t="shared" si="1299"/>
        <v>33</v>
      </c>
    </row>
    <row r="4338" spans="1:14" x14ac:dyDescent="0.25">
      <c r="A4338">
        <v>184</v>
      </c>
      <c r="B4338" s="1">
        <v>44175</v>
      </c>
      <c r="C4338" s="57" t="str">
        <f>IF(Ventas[[#This Row],[Fecha ]]="","",+TEXT(B4338,"mmmm"))</f>
        <v>diciembre</v>
      </c>
      <c r="D4338" s="57" t="str">
        <f>IFERROR(+VLOOKUP(Ventas[[#This Row],[Codigo de Producto]],Productos[#All],3,FALSE),"")</f>
        <v>Porcelana</v>
      </c>
      <c r="E4338" t="s">
        <v>708</v>
      </c>
      <c r="F4338" s="57" t="str">
        <f>IFERROR(+VLOOKUP(Ventas[[#This Row],[Codigo de Producto]],Productos[#All],4,FALSE),"")</f>
        <v xml:space="preserve">Porcelana Maya </v>
      </c>
      <c r="G4338">
        <v>1</v>
      </c>
      <c r="H4338">
        <v>60</v>
      </c>
      <c r="I4338" s="57">
        <f>IF(Ventas[[#This Row],[Cantidad]]="","",+Ventas[[#This Row],[Cantidad]]*Ventas[[#This Row],[Precio]])</f>
        <v>60</v>
      </c>
      <c r="J4338" s="57" t="str">
        <f>IFERROR(+VLOOKUP(Ventas[[#This Row],[Codigo de Producto]],Productos[#All],2,FALSE),"")</f>
        <v>Martinez</v>
      </c>
      <c r="K4338" s="57">
        <f>IFERROR(+VLOOKUP(Ventas[[#This Row],[Codigo de Producto]],Productos[#All],9,FALSE),"")</f>
        <v>33.333333333333336</v>
      </c>
      <c r="M4338" s="57">
        <f t="shared" si="1298"/>
        <v>33.333333333333336</v>
      </c>
      <c r="N4338" s="57">
        <f t="shared" si="1299"/>
        <v>26.666666666666664</v>
      </c>
    </row>
    <row r="4339" spans="1:14" x14ac:dyDescent="0.25">
      <c r="A4339">
        <v>185</v>
      </c>
      <c r="B4339" s="1">
        <v>44175</v>
      </c>
      <c r="C4339" s="57" t="str">
        <f>IF(Ventas[[#This Row],[Fecha ]]="","",+TEXT(B4339,"mmmm"))</f>
        <v>diciembre</v>
      </c>
      <c r="D4339" s="57" t="str">
        <f>IFERROR(+VLOOKUP(Ventas[[#This Row],[Codigo de Producto]],Productos[#All],3,FALSE),"")</f>
        <v>Bond</v>
      </c>
      <c r="E4339" t="s">
        <v>704</v>
      </c>
      <c r="F4339" s="57" t="str">
        <f>IFERROR(+VLOOKUP(Ventas[[#This Row],[Codigo de Producto]],Productos[#All],4,FALSE),"")</f>
        <v>Drytec Bond Plus</v>
      </c>
      <c r="G4339">
        <v>1</v>
      </c>
      <c r="H4339">
        <v>155</v>
      </c>
      <c r="I4339" s="57">
        <f>IF(Ventas[[#This Row],[Cantidad]]="","",+Ventas[[#This Row],[Cantidad]]*Ventas[[#This Row],[Precio]])</f>
        <v>155</v>
      </c>
      <c r="J4339" s="57" t="str">
        <f>IFERROR(+VLOOKUP(Ventas[[#This Row],[Codigo de Producto]],Productos[#All],2,FALSE),"")</f>
        <v>Comasa</v>
      </c>
      <c r="K4339" s="57">
        <f>IFERROR(+VLOOKUP(Ventas[[#This Row],[Codigo de Producto]],Productos[#All],9,FALSE),"")</f>
        <v>127</v>
      </c>
      <c r="M4339" s="57">
        <f t="shared" si="1298"/>
        <v>127</v>
      </c>
      <c r="N4339" s="57">
        <f t="shared" si="1299"/>
        <v>28</v>
      </c>
    </row>
    <row r="4340" spans="1:14" x14ac:dyDescent="0.25">
      <c r="A4340">
        <v>186</v>
      </c>
      <c r="B4340" s="1">
        <v>44175</v>
      </c>
      <c r="C4340" s="57" t="str">
        <f>IF(Ventas[[#This Row],[Fecha ]]="","",+TEXT(B4340,"mmmm"))</f>
        <v>diciembre</v>
      </c>
      <c r="D4340" s="57" t="str">
        <f>IFERROR(+VLOOKUP(Ventas[[#This Row],[Codigo de Producto]],Productos[#All],3,FALSE),"")</f>
        <v>Cerámica</v>
      </c>
      <c r="E4340" t="s">
        <v>905</v>
      </c>
      <c r="F4340" s="57" t="str">
        <f>IFERROR(+VLOOKUP(Ventas[[#This Row],[Codigo de Producto]],Productos[#All],4,FALSE),"")</f>
        <v>Carrara Blanco</v>
      </c>
      <c r="G4340">
        <v>8.5</v>
      </c>
      <c r="H4340">
        <v>265</v>
      </c>
      <c r="I4340" s="57">
        <f>IF(Ventas[[#This Row],[Cantidad]]="","",+Ventas[[#This Row],[Cantidad]]*Ventas[[#This Row],[Precio]])</f>
        <v>2252.5</v>
      </c>
      <c r="J4340" s="57" t="str">
        <f>IFERROR(+VLOOKUP(Ventas[[#This Row],[Codigo de Producto]],Productos[#All],2,FALSE),"")</f>
        <v>Comasa</v>
      </c>
      <c r="K4340" s="57">
        <f ca="1">IFERROR(+VLOOKUP(Ventas[[#This Row],[Codigo de Producto]],Productos[#All],9,FALSE),"")</f>
        <v>237</v>
      </c>
      <c r="M4340" s="57">
        <f t="shared" ca="1" si="1298"/>
        <v>2014.5</v>
      </c>
      <c r="N4340" s="57">
        <f t="shared" ca="1" si="1299"/>
        <v>238</v>
      </c>
    </row>
    <row r="4341" spans="1:14" x14ac:dyDescent="0.25">
      <c r="A4341">
        <v>187</v>
      </c>
      <c r="B4341" s="1">
        <v>44176</v>
      </c>
      <c r="C4341" s="57" t="str">
        <f>IF(Ventas[[#This Row],[Fecha ]]="","",+TEXT(B4341,"mmmm"))</f>
        <v>diciembre</v>
      </c>
      <c r="D4341" s="57" t="str">
        <f>IFERROR(+VLOOKUP(Ventas[[#This Row],[Codigo de Producto]],Productos[#All],3,FALSE),"")</f>
        <v>Porcelana</v>
      </c>
      <c r="E4341" t="s">
        <v>708</v>
      </c>
      <c r="F4341" s="57" t="str">
        <f>IFERROR(+VLOOKUP(Ventas[[#This Row],[Codigo de Producto]],Productos[#All],4,FALSE),"")</f>
        <v xml:space="preserve">Porcelana Maya </v>
      </c>
      <c r="G4341">
        <v>1</v>
      </c>
      <c r="H4341">
        <v>60</v>
      </c>
      <c r="I4341" s="57">
        <f>IF(Ventas[[#This Row],[Cantidad]]="","",+Ventas[[#This Row],[Cantidad]]*Ventas[[#This Row],[Precio]])</f>
        <v>60</v>
      </c>
      <c r="J4341" s="57" t="str">
        <f>IFERROR(+VLOOKUP(Ventas[[#This Row],[Codigo de Producto]],Productos[#All],2,FALSE),"")</f>
        <v>Martinez</v>
      </c>
      <c r="K4341" s="57">
        <f>IFERROR(+VLOOKUP(Ventas[[#This Row],[Codigo de Producto]],Productos[#All],9,FALSE),"")</f>
        <v>33.333333333333336</v>
      </c>
      <c r="M4341" s="57">
        <f t="shared" si="1298"/>
        <v>33.333333333333336</v>
      </c>
      <c r="N4341" s="57">
        <f t="shared" si="1299"/>
        <v>26.666666666666664</v>
      </c>
    </row>
    <row r="4342" spans="1:14" x14ac:dyDescent="0.25">
      <c r="A4342">
        <v>188</v>
      </c>
      <c r="B4342" s="1">
        <v>44176</v>
      </c>
      <c r="C4342" s="57" t="str">
        <f>IF(Ventas[[#This Row],[Fecha ]]="","",+TEXT(B4342,"mmmm"))</f>
        <v>diciembre</v>
      </c>
      <c r="D4342" s="57" t="str">
        <f>IFERROR(+VLOOKUP(Ventas[[#This Row],[Codigo de Producto]],Productos[#All],3,FALSE),"")</f>
        <v>Cerámica</v>
      </c>
      <c r="E4342" t="s">
        <v>738</v>
      </c>
      <c r="F4342" s="57" t="str">
        <f>IFERROR(+VLOOKUP(Ventas[[#This Row],[Codigo de Producto]],Productos[#All],4,FALSE),"")</f>
        <v>Dubai Beige</v>
      </c>
      <c r="G4342">
        <f>5/9</f>
        <v>0.55555555555555558</v>
      </c>
      <c r="H4342">
        <v>300</v>
      </c>
      <c r="I4342" s="57">
        <f>IF(Ventas[[#This Row],[Cantidad]]="","",+Ventas[[#This Row],[Cantidad]]*Ventas[[#This Row],[Precio]])</f>
        <v>166.66666666666669</v>
      </c>
      <c r="J4342" s="57" t="str">
        <f>IFERROR(+VLOOKUP(Ventas[[#This Row],[Codigo de Producto]],Productos[#All],2,FALSE),"")</f>
        <v>Dispiasa</v>
      </c>
      <c r="K4342" s="57">
        <f>IFERROR(+VLOOKUP(Ventas[[#This Row],[Codigo de Producto]],Productos[#All],9,FALSE),"")</f>
        <v>268</v>
      </c>
      <c r="M4342" s="57">
        <f t="shared" si="1298"/>
        <v>148.88888888888889</v>
      </c>
      <c r="N4342" s="57">
        <f t="shared" si="1299"/>
        <v>17.7777777777778</v>
      </c>
    </row>
    <row r="4343" spans="1:14" x14ac:dyDescent="0.25">
      <c r="A4343">
        <v>189</v>
      </c>
      <c r="B4343" s="1">
        <v>44176</v>
      </c>
      <c r="C4343" s="57" t="str">
        <f>IF(Ventas[[#This Row],[Fecha ]]="","",+TEXT(B4343,"mmmm"))</f>
        <v>diciembre</v>
      </c>
      <c r="D4343" s="57" t="str">
        <f>IFERROR(+VLOOKUP(Ventas[[#This Row],[Codigo de Producto]],Productos[#All],3,FALSE),"")</f>
        <v>Pantry</v>
      </c>
      <c r="E4343" t="s">
        <v>909</v>
      </c>
      <c r="F4343" s="57" t="str">
        <f>IFERROR(+VLOOKUP(Ventas[[#This Row],[Codigo de Producto]],Productos[#All],4,FALSE),"")</f>
        <v>Lavamano de Pantry monomando</v>
      </c>
      <c r="G4343">
        <v>1</v>
      </c>
      <c r="H4343">
        <v>600</v>
      </c>
      <c r="I4343" s="57">
        <f>IF(Ventas[[#This Row],[Cantidad]]="","",+Ventas[[#This Row],[Cantidad]]*Ventas[[#This Row],[Precio]])</f>
        <v>600</v>
      </c>
      <c r="J4343" s="57" t="str">
        <f>IFERROR(+VLOOKUP(Ventas[[#This Row],[Codigo de Producto]],Productos[#All],2,FALSE),"")</f>
        <v>Invercopa</v>
      </c>
      <c r="K4343" s="57">
        <f>IFERROR(+VLOOKUP(Ventas[[#This Row],[Codigo de Producto]],Productos[#All],9,FALSE),"")</f>
        <v>0</v>
      </c>
      <c r="M4343" s="57" t="str">
        <f t="shared" si="1298"/>
        <v/>
      </c>
      <c r="N4343" s="57" t="str">
        <f t="shared" si="1299"/>
        <v/>
      </c>
    </row>
    <row r="4344" spans="1:14" x14ac:dyDescent="0.25">
      <c r="A4344">
        <v>190</v>
      </c>
      <c r="B4344" s="1">
        <v>44176</v>
      </c>
      <c r="C4344" s="57" t="str">
        <f>IF(Ventas[[#This Row],[Fecha ]]="","",+TEXT(B4344,"mmmm"))</f>
        <v>diciembre</v>
      </c>
      <c r="D4344" s="57" t="str">
        <f>IFERROR(+VLOOKUP(Ventas[[#This Row],[Codigo de Producto]],Productos[#All],3,FALSE),"")</f>
        <v>Lavamano</v>
      </c>
      <c r="E4344" t="s">
        <v>912</v>
      </c>
      <c r="F4344" s="57" t="str">
        <f>IFERROR(+VLOOKUP(Ventas[[#This Row],[Codigo de Producto]],Productos[#All],4,FALSE),"")</f>
        <v>Llave de lavamano Monomando</v>
      </c>
      <c r="G4344">
        <v>1</v>
      </c>
      <c r="H4344">
        <v>270</v>
      </c>
      <c r="I4344" s="57">
        <f>IF(Ventas[[#This Row],[Cantidad]]="","",+Ventas[[#This Row],[Cantidad]]*Ventas[[#This Row],[Precio]])</f>
        <v>270</v>
      </c>
      <c r="J4344" s="57" t="str">
        <f>IFERROR(+VLOOKUP(Ventas[[#This Row],[Codigo de Producto]],Productos[#All],2,FALSE),"")</f>
        <v>Silco</v>
      </c>
      <c r="K4344" s="57">
        <f>IFERROR(+VLOOKUP(Ventas[[#This Row],[Codigo de Producto]],Productos[#All],9,FALSE),"")</f>
        <v>0</v>
      </c>
      <c r="M4344" s="57" t="str">
        <f t="shared" si="1298"/>
        <v/>
      </c>
      <c r="N4344" s="57" t="str">
        <f t="shared" si="1299"/>
        <v/>
      </c>
    </row>
    <row r="4345" spans="1:14" x14ac:dyDescent="0.25">
      <c r="A4345">
        <v>191</v>
      </c>
      <c r="B4345" s="1">
        <v>44176</v>
      </c>
      <c r="C4345" s="57" t="str">
        <f>IF(Ventas[[#This Row],[Fecha ]]="","",+TEXT(B4345,"mmmm"))</f>
        <v>diciembre</v>
      </c>
      <c r="D4345" s="57" t="str">
        <f>IFERROR(+VLOOKUP(Ventas[[#This Row],[Codigo de Producto]],Productos[#All],3,FALSE),"")</f>
        <v>Pantry</v>
      </c>
      <c r="E4345" t="s">
        <v>809</v>
      </c>
      <c r="F4345" s="57" t="str">
        <f>IFERROR(+VLOOKUP(Ventas[[#This Row],[Codigo de Producto]],Productos[#All],4,FALSE),"")</f>
        <v>Centro de Pantry Aqua</v>
      </c>
      <c r="G4345">
        <v>1</v>
      </c>
      <c r="H4345">
        <v>90</v>
      </c>
      <c r="I4345" s="57">
        <f>IF(Ventas[[#This Row],[Cantidad]]="","",+Ventas[[#This Row],[Cantidad]]*Ventas[[#This Row],[Precio]])</f>
        <v>90</v>
      </c>
      <c r="J4345" s="57" t="str">
        <f>IFERROR(+VLOOKUP(Ventas[[#This Row],[Codigo de Producto]],Productos[#All],2,FALSE),"")</f>
        <v>Silco</v>
      </c>
      <c r="K4345" s="57">
        <f ca="1">IFERROR(+VLOOKUP(Ventas[[#This Row],[Codigo de Producto]],Productos[#All],9,FALSE),"")</f>
        <v>0</v>
      </c>
      <c r="M4345" s="57" t="str">
        <f t="shared" ca="1" si="1298"/>
        <v/>
      </c>
      <c r="N4345" s="57" t="str">
        <f t="shared" ca="1" si="1299"/>
        <v/>
      </c>
    </row>
    <row r="4346" spans="1:14" x14ac:dyDescent="0.25">
      <c r="A4346">
        <v>192</v>
      </c>
      <c r="B4346" s="1">
        <v>44176</v>
      </c>
      <c r="C4346" s="57" t="str">
        <f>IF(Ventas[[#This Row],[Fecha ]]="","",+TEXT(B4346,"mmmm"))</f>
        <v>diciembre</v>
      </c>
      <c r="D4346" s="57" t="str">
        <f>IFERROR(+VLOOKUP(Ventas[[#This Row],[Codigo de Producto]],Productos[#All],3,FALSE),"")</f>
        <v>Cerámica</v>
      </c>
      <c r="E4346" t="s">
        <v>890</v>
      </c>
      <c r="F4346" s="57" t="str">
        <f>IFERROR(+VLOOKUP(Ventas[[#This Row],[Codigo de Producto]],Productos[#All],4,FALSE),"")</f>
        <v>Calzada Gris</v>
      </c>
      <c r="G4346">
        <v>1</v>
      </c>
      <c r="H4346">
        <v>250</v>
      </c>
      <c r="I4346" s="57">
        <f>IF(Ventas[[#This Row],[Cantidad]]="","",+Ventas[[#This Row],[Cantidad]]*Ventas[[#This Row],[Precio]])</f>
        <v>250</v>
      </c>
      <c r="J4346" s="57" t="str">
        <f>IFERROR(+VLOOKUP(Ventas[[#This Row],[Codigo de Producto]],Productos[#All],2,FALSE),"")</f>
        <v>Comasa</v>
      </c>
      <c r="K4346" s="57">
        <f ca="1">IFERROR(+VLOOKUP(Ventas[[#This Row],[Codigo de Producto]],Productos[#All],9,FALSE),"")</f>
        <v>232.64</v>
      </c>
      <c r="M4346" s="57">
        <f t="shared" ca="1" si="1298"/>
        <v>232.64</v>
      </c>
      <c r="N4346" s="57">
        <f t="shared" ca="1" si="1299"/>
        <v>17.360000000000014</v>
      </c>
    </row>
    <row r="4347" spans="1:14" x14ac:dyDescent="0.25">
      <c r="A4347">
        <v>193</v>
      </c>
      <c r="B4347" s="1">
        <v>44176</v>
      </c>
      <c r="C4347" s="57" t="str">
        <f>IF(Ventas[[#This Row],[Fecha ]]="","",+TEXT(B4347,"mmmm"))</f>
        <v>diciembre</v>
      </c>
      <c r="D4347" s="57" t="str">
        <f>IFERROR(+VLOOKUP(Ventas[[#This Row],[Codigo de Producto]],Productos[#All],3,FALSE),"")</f>
        <v>Azulejos</v>
      </c>
      <c r="E4347" t="s">
        <v>870</v>
      </c>
      <c r="F4347" s="57" t="str">
        <f>IFERROR(+VLOOKUP(Ventas[[#This Row],[Codigo de Producto]],Productos[#All],4,FALSE),"")</f>
        <v>Andes Plus Blanco</v>
      </c>
      <c r="G4347">
        <f>7/16</f>
        <v>0.4375</v>
      </c>
      <c r="H4347">
        <v>300</v>
      </c>
      <c r="I4347" s="57">
        <f>IF(Ventas[[#This Row],[Cantidad]]="","",+Ventas[[#This Row],[Cantidad]]*Ventas[[#This Row],[Precio]])</f>
        <v>131.25</v>
      </c>
      <c r="J4347" s="57" t="str">
        <f>IFERROR(+VLOOKUP(Ventas[[#This Row],[Codigo de Producto]],Productos[#All],2,FALSE),"")</f>
        <v>Comasa</v>
      </c>
      <c r="K4347" s="57">
        <f ca="1">IFERROR(+VLOOKUP(Ventas[[#This Row],[Codigo de Producto]],Productos[#All],9,FALSE),"")</f>
        <v>272</v>
      </c>
      <c r="M4347" s="57">
        <f t="shared" ca="1" si="1298"/>
        <v>119</v>
      </c>
      <c r="N4347" s="57">
        <f t="shared" ca="1" si="1299"/>
        <v>12.25</v>
      </c>
    </row>
    <row r="4348" spans="1:14" x14ac:dyDescent="0.25">
      <c r="A4348">
        <v>194</v>
      </c>
      <c r="B4348" s="1">
        <v>44176</v>
      </c>
      <c r="C4348" s="57" t="str">
        <f>IF(Ventas[[#This Row],[Fecha ]]="","",+TEXT(B4348,"mmmm"))</f>
        <v>diciembre</v>
      </c>
      <c r="D4348" s="57" t="str">
        <f>IFERROR(+VLOOKUP(Ventas[[#This Row],[Codigo de Producto]],Productos[#All],3,FALSE),"")</f>
        <v>Porcelana</v>
      </c>
      <c r="E4348" t="s">
        <v>708</v>
      </c>
      <c r="F4348" s="57" t="str">
        <f>IFERROR(+VLOOKUP(Ventas[[#This Row],[Codigo de Producto]],Productos[#All],4,FALSE),"")</f>
        <v xml:space="preserve">Porcelana Maya </v>
      </c>
      <c r="G4348">
        <v>1</v>
      </c>
      <c r="H4348">
        <v>60</v>
      </c>
      <c r="I4348" s="57">
        <f>IF(Ventas[[#This Row],[Cantidad]]="","",+Ventas[[#This Row],[Cantidad]]*Ventas[[#This Row],[Precio]])</f>
        <v>60</v>
      </c>
      <c r="J4348" s="57" t="str">
        <f>IFERROR(+VLOOKUP(Ventas[[#This Row],[Codigo de Producto]],Productos[#All],2,FALSE),"")</f>
        <v>Martinez</v>
      </c>
      <c r="K4348" s="57">
        <f>IFERROR(+VLOOKUP(Ventas[[#This Row],[Codigo de Producto]],Productos[#All],9,FALSE),"")</f>
        <v>33.333333333333336</v>
      </c>
      <c r="M4348" s="57">
        <f t="shared" si="1298"/>
        <v>33.333333333333336</v>
      </c>
      <c r="N4348" s="57">
        <f t="shared" si="1299"/>
        <v>26.666666666666664</v>
      </c>
    </row>
    <row r="4349" spans="1:14" x14ac:dyDescent="0.25">
      <c r="A4349">
        <v>195</v>
      </c>
      <c r="B4349" s="1">
        <v>44176</v>
      </c>
      <c r="C4349" s="57" t="str">
        <f>IF(Ventas[[#This Row],[Fecha ]]="","",+TEXT(B4349,"mmmm"))</f>
        <v>diciembre</v>
      </c>
      <c r="D4349" s="57" t="str">
        <f>IFERROR(+VLOOKUP(Ventas[[#This Row],[Codigo de Producto]],Productos[#All],3,FALSE),"")</f>
        <v>Cerámica</v>
      </c>
      <c r="E4349" t="s">
        <v>625</v>
      </c>
      <c r="F4349" s="57" t="str">
        <f>IFERROR(+VLOOKUP(Ventas[[#This Row],[Codigo de Producto]],Productos[#All],4,FALSE),"")</f>
        <v>Florencia Beige</v>
      </c>
      <c r="G4349">
        <f>6/9</f>
        <v>0.66666666666666663</v>
      </c>
      <c r="H4349">
        <v>300</v>
      </c>
      <c r="I4349" s="57">
        <f>IF(Ventas[[#This Row],[Cantidad]]="","",+Ventas[[#This Row],[Cantidad]]*Ventas[[#This Row],[Precio]])</f>
        <v>200</v>
      </c>
      <c r="J4349" s="57" t="s">
        <v>163</v>
      </c>
      <c r="K4349" s="57">
        <f>IFERROR(+VLOOKUP(Ventas[[#This Row],[Codigo de Producto]],Productos[#All],9,FALSE),"")</f>
        <v>268</v>
      </c>
      <c r="M4349" s="57">
        <f t="shared" ref="M4349:M4385" si="1300">+IF(K4349=0,(""),(K4349*G4349))</f>
        <v>178.66666666666666</v>
      </c>
      <c r="N4349" s="57">
        <f t="shared" ref="N4349:N4380" si="1301">+IF(K4349=0,(""),(I4349-M4349))</f>
        <v>21.333333333333343</v>
      </c>
    </row>
    <row r="4350" spans="1:14" x14ac:dyDescent="0.25">
      <c r="A4350">
        <v>196</v>
      </c>
      <c r="B4350" s="1">
        <v>44176</v>
      </c>
      <c r="C4350" s="57" t="str">
        <f>IF(Ventas[[#This Row],[Fecha ]]="","",+TEXT(B4350,"mmmm"))</f>
        <v>diciembre</v>
      </c>
      <c r="D4350" s="57" t="str">
        <f>IFERROR(+VLOOKUP(Ventas[[#This Row],[Codigo de Producto]],Productos[#All],3,FALSE),"")</f>
        <v>Azulejos</v>
      </c>
      <c r="E4350" t="s">
        <v>899</v>
      </c>
      <c r="F4350" s="57" t="str">
        <f>IFERROR(+VLOOKUP(Ventas[[#This Row],[Codigo de Producto]],Productos[#All],4,FALSE),"")</f>
        <v>722 Azul liso</v>
      </c>
      <c r="G4350">
        <v>1</v>
      </c>
      <c r="H4350">
        <v>270</v>
      </c>
      <c r="I4350" s="57">
        <f>IF(Ventas[[#This Row],[Cantidad]]="","",+Ventas[[#This Row],[Cantidad]]*Ventas[[#This Row],[Precio]])</f>
        <v>270</v>
      </c>
      <c r="J4350" s="57" t="str">
        <f>IFERROR(+VLOOKUP(Ventas[[#This Row],[Codigo de Producto]],Productos[#All],2,FALSE),"")</f>
        <v>Dispiasa</v>
      </c>
      <c r="K4350" s="57">
        <f ca="1">IFERROR(+VLOOKUP(Ventas[[#This Row],[Codigo de Producto]],Productos[#All],9,FALSE),"")</f>
        <v>207</v>
      </c>
      <c r="M4350" s="57">
        <f t="shared" ca="1" si="1300"/>
        <v>207</v>
      </c>
      <c r="N4350" s="57">
        <f t="shared" ca="1" si="1301"/>
        <v>63</v>
      </c>
    </row>
    <row r="4351" spans="1:14" x14ac:dyDescent="0.25">
      <c r="A4351">
        <v>197</v>
      </c>
      <c r="B4351" s="1">
        <v>44176</v>
      </c>
      <c r="C4351" s="57" t="str">
        <f>IF(Ventas[[#This Row],[Fecha ]]="","",+TEXT(B4351,"mmmm"))</f>
        <v>diciembre</v>
      </c>
      <c r="D4351" s="57" t="str">
        <f>IFERROR(+VLOOKUP(Ventas[[#This Row],[Codigo de Producto]],Productos[#All],3,FALSE),"")</f>
        <v>Otro</v>
      </c>
      <c r="E4351" t="s">
        <v>856</v>
      </c>
      <c r="F4351" s="57" t="str">
        <f>IFERROR(+VLOOKUP(Ventas[[#This Row],[Codigo de Producto]],Productos[#All],4,FALSE),"")</f>
        <v>Avería</v>
      </c>
      <c r="G4351">
        <v>50</v>
      </c>
      <c r="H4351">
        <v>80</v>
      </c>
      <c r="I4351" s="57">
        <f>IF(Ventas[[#This Row],[Cantidad]]="","",+Ventas[[#This Row],[Cantidad]]*Ventas[[#This Row],[Precio]])</f>
        <v>4000</v>
      </c>
      <c r="J4351" s="57" t="str">
        <f>IFERROR(+VLOOKUP(Ventas[[#This Row],[Codigo de Producto]],Productos[#All],2,FALSE),"")</f>
        <v>Otro</v>
      </c>
      <c r="K4351" s="57">
        <f ca="1">IFERROR(+VLOOKUP(Ventas[[#This Row],[Codigo de Producto]],Productos[#All],9,FALSE),"")</f>
        <v>0</v>
      </c>
      <c r="M4351" s="57" t="str">
        <f t="shared" ca="1" si="1300"/>
        <v/>
      </c>
      <c r="N4351" s="57" t="str">
        <f t="shared" ca="1" si="1301"/>
        <v/>
      </c>
    </row>
    <row r="4352" spans="1:14" x14ac:dyDescent="0.25">
      <c r="A4352">
        <v>198</v>
      </c>
      <c r="B4352" s="1">
        <v>44176</v>
      </c>
      <c r="C4352" s="57" t="str">
        <f>IF(Ventas[[#This Row],[Fecha ]]="","",+TEXT(B4352,"mmmm"))</f>
        <v>diciembre</v>
      </c>
      <c r="D4352" s="57" t="str">
        <f>IFERROR(+VLOOKUP(Ventas[[#This Row],[Codigo de Producto]],Productos[#All],3,FALSE),"")</f>
        <v>Azulejos</v>
      </c>
      <c r="E4352" t="s">
        <v>642</v>
      </c>
      <c r="F4352" s="57" t="str">
        <f>IFERROR(+VLOOKUP(Ventas[[#This Row],[Codigo de Producto]],Productos[#All],4,FALSE),"")</f>
        <v>722 Marrón</v>
      </c>
      <c r="G4352">
        <v>23</v>
      </c>
      <c r="H4352">
        <v>270</v>
      </c>
      <c r="I4352" s="57">
        <f>IF(Ventas[[#This Row],[Cantidad]]="","",+Ventas[[#This Row],[Cantidad]]*Ventas[[#This Row],[Precio]])</f>
        <v>6210</v>
      </c>
      <c r="J4352" s="57" t="str">
        <f>IFERROR(+VLOOKUP(Ventas[[#This Row],[Codigo de Producto]],Productos[#All],2,FALSE),"")</f>
        <v>Dispiasa</v>
      </c>
      <c r="K4352" s="57">
        <f>IFERROR(+VLOOKUP(Ventas[[#This Row],[Codigo de Producto]],Productos[#All],9,FALSE),"")</f>
        <v>207</v>
      </c>
      <c r="M4352" s="57">
        <f t="shared" si="1300"/>
        <v>4761</v>
      </c>
      <c r="N4352" s="57">
        <f t="shared" si="1301"/>
        <v>1449</v>
      </c>
    </row>
    <row r="4353" spans="1:14" x14ac:dyDescent="0.25">
      <c r="A4353">
        <v>199</v>
      </c>
      <c r="B4353" s="1">
        <v>44176</v>
      </c>
      <c r="C4353" s="57" t="str">
        <f>IF(Ventas[[#This Row],[Fecha ]]="","",+TEXT(B4353,"mmmm"))</f>
        <v>diciembre</v>
      </c>
      <c r="D4353" s="57" t="str">
        <f>IFERROR(+VLOOKUP(Ventas[[#This Row],[Codigo de Producto]],Productos[#All],3,FALSE),"")</f>
        <v>Separadores</v>
      </c>
      <c r="E4353" t="s">
        <v>720</v>
      </c>
      <c r="F4353" s="57" t="str">
        <f>IFERROR(+VLOOKUP(Ventas[[#This Row],[Codigo de Producto]],Productos[#All],4,FALSE),"")</f>
        <v>Separadores de 3 mm</v>
      </c>
      <c r="G4353">
        <v>1</v>
      </c>
      <c r="H4353">
        <v>35</v>
      </c>
      <c r="I4353" s="57">
        <f>IF(Ventas[[#This Row],[Cantidad]]="","",+Ventas[[#This Row],[Cantidad]]*Ventas[[#This Row],[Precio]])</f>
        <v>35</v>
      </c>
      <c r="J4353" s="57" t="str">
        <f>IFERROR(+VLOOKUP(Ventas[[#This Row],[Codigo de Producto]],Productos[#All],2,FALSE),"")</f>
        <v>Silco</v>
      </c>
      <c r="K4353" s="57">
        <f>IFERROR(+VLOOKUP(Ventas[[#This Row],[Codigo de Producto]],Productos[#All],9,FALSE),"")</f>
        <v>26</v>
      </c>
      <c r="M4353" s="57">
        <f t="shared" si="1300"/>
        <v>26</v>
      </c>
      <c r="N4353" s="57">
        <f t="shared" si="1301"/>
        <v>9</v>
      </c>
    </row>
    <row r="4354" spans="1:14" x14ac:dyDescent="0.25">
      <c r="A4354">
        <v>200</v>
      </c>
      <c r="B4354" s="1">
        <v>44176</v>
      </c>
      <c r="C4354" s="57" t="str">
        <f>IF(Ventas[[#This Row],[Fecha ]]="","",+TEXT(B4354,"mmmm"))</f>
        <v>diciembre</v>
      </c>
      <c r="D4354" s="57" t="str">
        <f>IFERROR(+VLOOKUP(Ventas[[#This Row],[Codigo de Producto]],Productos[#All],3,FALSE),"")</f>
        <v>Separadores</v>
      </c>
      <c r="E4354" t="s">
        <v>722</v>
      </c>
      <c r="F4354" s="57" t="str">
        <f>IFERROR(+VLOOKUP(Ventas[[#This Row],[Codigo de Producto]],Productos[#All],4,FALSE),"")</f>
        <v>Separadores de 5 mm</v>
      </c>
      <c r="G4354">
        <v>1</v>
      </c>
      <c r="H4354">
        <v>35</v>
      </c>
      <c r="I4354" s="57">
        <f>IF(Ventas[[#This Row],[Cantidad]]="","",+Ventas[[#This Row],[Cantidad]]*Ventas[[#This Row],[Precio]])</f>
        <v>35</v>
      </c>
      <c r="J4354" s="57" t="str">
        <f>IFERROR(+VLOOKUP(Ventas[[#This Row],[Codigo de Producto]],Productos[#All],2,FALSE),"")</f>
        <v>Silco</v>
      </c>
      <c r="K4354" s="57">
        <f>IFERROR(+VLOOKUP(Ventas[[#This Row],[Codigo de Producto]],Productos[#All],9,FALSE),"")</f>
        <v>22</v>
      </c>
      <c r="M4354" s="57">
        <f t="shared" si="1300"/>
        <v>22</v>
      </c>
      <c r="N4354" s="57">
        <f t="shared" si="1301"/>
        <v>13</v>
      </c>
    </row>
    <row r="4355" spans="1:14" x14ac:dyDescent="0.25">
      <c r="A4355">
        <v>201</v>
      </c>
      <c r="B4355" s="1">
        <v>44176</v>
      </c>
      <c r="C4355" s="57" t="str">
        <f>IF(Ventas[[#This Row],[Fecha ]]="","",+TEXT(B4355,"mmmm"))</f>
        <v>diciembre</v>
      </c>
      <c r="D4355" s="57" t="str">
        <f>IFERROR(+VLOOKUP(Ventas[[#This Row],[Codigo de Producto]],Productos[#All],3,FALSE),"")</f>
        <v>Porcelana</v>
      </c>
      <c r="E4355" t="s">
        <v>708</v>
      </c>
      <c r="F4355" s="57" t="str">
        <f>IFERROR(+VLOOKUP(Ventas[[#This Row],[Codigo de Producto]],Productos[#All],4,FALSE),"")</f>
        <v xml:space="preserve">Porcelana Maya </v>
      </c>
      <c r="G4355">
        <v>5</v>
      </c>
      <c r="H4355">
        <v>60</v>
      </c>
      <c r="I4355" s="57">
        <f>IF(Ventas[[#This Row],[Cantidad]]="","",+Ventas[[#This Row],[Cantidad]]*Ventas[[#This Row],[Precio]])</f>
        <v>300</v>
      </c>
      <c r="J4355" s="57" t="str">
        <f>IFERROR(+VLOOKUP(Ventas[[#This Row],[Codigo de Producto]],Productos[#All],2,FALSE),"")</f>
        <v>Martinez</v>
      </c>
      <c r="K4355" s="57">
        <f>IFERROR(+VLOOKUP(Ventas[[#This Row],[Codigo de Producto]],Productos[#All],9,FALSE),"")</f>
        <v>33.333333333333336</v>
      </c>
      <c r="M4355" s="57">
        <f t="shared" si="1300"/>
        <v>166.66666666666669</v>
      </c>
      <c r="N4355" s="57">
        <f t="shared" si="1301"/>
        <v>133.33333333333331</v>
      </c>
    </row>
    <row r="4356" spans="1:14" x14ac:dyDescent="0.25">
      <c r="A4356">
        <v>202</v>
      </c>
      <c r="B4356" s="1">
        <v>44176</v>
      </c>
      <c r="C4356" s="57" t="str">
        <f>IF(Ventas[[#This Row],[Fecha ]]="","",+TEXT(B4356,"mmmm"))</f>
        <v>diciembre</v>
      </c>
      <c r="D4356" s="57" t="str">
        <f>IFERROR(+VLOOKUP(Ventas[[#This Row],[Codigo de Producto]],Productos[#All],3,FALSE),"")</f>
        <v>Cerámica</v>
      </c>
      <c r="E4356" t="s">
        <v>871</v>
      </c>
      <c r="F4356" s="57" t="str">
        <f>IFERROR(+VLOOKUP(Ventas[[#This Row],[Codigo de Producto]],Productos[#All],4,FALSE),"")</f>
        <v>Piso Incenor Plain White 58x58</v>
      </c>
      <c r="G4356">
        <v>16</v>
      </c>
      <c r="H4356">
        <v>255</v>
      </c>
      <c r="I4356" s="57">
        <f>IF(Ventas[[#This Row],[Cantidad]]="","",+Ventas[[#This Row],[Cantidad]]*Ventas[[#This Row],[Precio]])</f>
        <v>4080</v>
      </c>
      <c r="J4356" s="57" t="str">
        <f>IFERROR(+VLOOKUP(Ventas[[#This Row],[Codigo de Producto]],Productos[#All],2,FALSE),"")</f>
        <v>Halcón</v>
      </c>
      <c r="K4356" s="57">
        <f ca="1">IFERROR(+VLOOKUP(Ventas[[#This Row],[Codigo de Producto]],Productos[#All],9,FALSE),"")</f>
        <v>225</v>
      </c>
      <c r="M4356" s="57">
        <f t="shared" ca="1" si="1300"/>
        <v>3600</v>
      </c>
      <c r="N4356" s="57">
        <f t="shared" ca="1" si="1301"/>
        <v>480</v>
      </c>
    </row>
    <row r="4357" spans="1:14" x14ac:dyDescent="0.25">
      <c r="A4357">
        <v>203</v>
      </c>
      <c r="B4357" s="1">
        <v>44176</v>
      </c>
      <c r="C4357" s="57" t="str">
        <f>IF(Ventas[[#This Row],[Fecha ]]="","",+TEXT(B4357,"mmmm"))</f>
        <v>diciembre</v>
      </c>
      <c r="D4357" s="57" t="str">
        <f>IFERROR(+VLOOKUP(Ventas[[#This Row],[Codigo de Producto]],Productos[#All],3,FALSE),"")</f>
        <v>Bond</v>
      </c>
      <c r="E4357" t="s">
        <v>704</v>
      </c>
      <c r="F4357" s="57" t="str">
        <f>IFERROR(+VLOOKUP(Ventas[[#This Row],[Codigo de Producto]],Productos[#All],4,FALSE),"")</f>
        <v>Drytec Bond Plus</v>
      </c>
      <c r="G4357">
        <v>6</v>
      </c>
      <c r="H4357">
        <v>155</v>
      </c>
      <c r="I4357" s="57">
        <f>IF(Ventas[[#This Row],[Cantidad]]="","",+Ventas[[#This Row],[Cantidad]]*Ventas[[#This Row],[Precio]])</f>
        <v>930</v>
      </c>
      <c r="J4357" s="57" t="str">
        <f>IFERROR(+VLOOKUP(Ventas[[#This Row],[Codigo de Producto]],Productos[#All],2,FALSE),"")</f>
        <v>Comasa</v>
      </c>
      <c r="K4357" s="57">
        <f>IFERROR(+VLOOKUP(Ventas[[#This Row],[Codigo de Producto]],Productos[#All],9,FALSE),"")</f>
        <v>127</v>
      </c>
      <c r="M4357" s="57">
        <f t="shared" si="1300"/>
        <v>762</v>
      </c>
      <c r="N4357" s="57">
        <f t="shared" si="1301"/>
        <v>168</v>
      </c>
    </row>
    <row r="4358" spans="1:14" x14ac:dyDescent="0.25">
      <c r="A4358">
        <v>204</v>
      </c>
      <c r="B4358" s="1">
        <v>44176</v>
      </c>
      <c r="C4358" s="57" t="str">
        <f>IF(Ventas[[#This Row],[Fecha ]]="","",+TEXT(B4358,"mmmm"))</f>
        <v>diciembre</v>
      </c>
      <c r="D4358" s="57" t="str">
        <f>IFERROR(+VLOOKUP(Ventas[[#This Row],[Codigo de Producto]],Productos[#All],3,FALSE),"")</f>
        <v>Plasterbond</v>
      </c>
      <c r="E4358" t="s">
        <v>713</v>
      </c>
      <c r="F4358" s="57" t="str">
        <f>IFERROR(+VLOOKUP(Ventas[[#This Row],[Codigo de Producto]],Productos[#All],4,FALSE),"")</f>
        <v>Plasterbond Klebe</v>
      </c>
      <c r="G4358">
        <v>3.2</v>
      </c>
      <c r="H4358">
        <v>100</v>
      </c>
      <c r="I4358" s="57">
        <f>IF(Ventas[[#This Row],[Cantidad]]="","",+Ventas[[#This Row],[Cantidad]]*Ventas[[#This Row],[Precio]])</f>
        <v>320</v>
      </c>
      <c r="J4358" s="57" t="str">
        <f>IFERROR(+VLOOKUP(Ventas[[#This Row],[Codigo de Producto]],Productos[#All],2,FALSE),"")</f>
        <v>Aginsa</v>
      </c>
      <c r="K4358" s="57">
        <f>IFERROR(+VLOOKUP(Ventas[[#This Row],[Codigo de Producto]],Productos[#All],9,FALSE),"")</f>
        <v>80</v>
      </c>
      <c r="M4358" s="57">
        <f t="shared" si="1300"/>
        <v>256</v>
      </c>
      <c r="N4358" s="57">
        <f t="shared" si="1301"/>
        <v>64</v>
      </c>
    </row>
    <row r="4359" spans="1:14" x14ac:dyDescent="0.25">
      <c r="A4359">
        <v>205</v>
      </c>
      <c r="B4359" s="1">
        <v>44176</v>
      </c>
      <c r="C4359" s="57" t="str">
        <f>IF(Ventas[[#This Row],[Fecha ]]="","",+TEXT(B4359,"mmmm"))</f>
        <v>diciembre</v>
      </c>
      <c r="D4359" s="57" t="str">
        <f>IFERROR(+VLOOKUP(Ventas[[#This Row],[Codigo de Producto]],Productos[#All],3,FALSE),"")</f>
        <v>Porcelana</v>
      </c>
      <c r="E4359" t="s">
        <v>708</v>
      </c>
      <c r="F4359" s="57" t="str">
        <f>IFERROR(+VLOOKUP(Ventas[[#This Row],[Codigo de Producto]],Productos[#All],4,FALSE),"")</f>
        <v xml:space="preserve">Porcelana Maya </v>
      </c>
      <c r="G4359">
        <v>4</v>
      </c>
      <c r="H4359">
        <v>60</v>
      </c>
      <c r="I4359" s="57">
        <f>IF(Ventas[[#This Row],[Cantidad]]="","",+Ventas[[#This Row],[Cantidad]]*Ventas[[#This Row],[Precio]])</f>
        <v>240</v>
      </c>
      <c r="J4359" s="57" t="str">
        <f>IFERROR(+VLOOKUP(Ventas[[#This Row],[Codigo de Producto]],Productos[#All],2,FALSE),"")</f>
        <v>Martinez</v>
      </c>
      <c r="K4359" s="57">
        <f>IFERROR(+VLOOKUP(Ventas[[#This Row],[Codigo de Producto]],Productos[#All],9,FALSE),"")</f>
        <v>33.333333333333336</v>
      </c>
      <c r="M4359" s="57">
        <f t="shared" si="1300"/>
        <v>133.33333333333334</v>
      </c>
      <c r="N4359" s="57">
        <f t="shared" si="1301"/>
        <v>106.66666666666666</v>
      </c>
    </row>
    <row r="4360" spans="1:14" x14ac:dyDescent="0.25">
      <c r="A4360">
        <v>206</v>
      </c>
      <c r="B4360" s="1">
        <v>44176</v>
      </c>
      <c r="C4360" s="57" t="str">
        <f>IF(Ventas[[#This Row],[Fecha ]]="","",+TEXT(B4360,"mmmm"))</f>
        <v>diciembre</v>
      </c>
      <c r="D4360" s="57" t="str">
        <f>IFERROR(+VLOOKUP(Ventas[[#This Row],[Codigo de Producto]],Productos[#All],3,FALSE),"")</f>
        <v>Separadores</v>
      </c>
      <c r="E4360" t="s">
        <v>720</v>
      </c>
      <c r="F4360" s="57" t="str">
        <f>IFERROR(+VLOOKUP(Ventas[[#This Row],[Codigo de Producto]],Productos[#All],4,FALSE),"")</f>
        <v>Separadores de 3 mm</v>
      </c>
      <c r="G4360">
        <v>1</v>
      </c>
      <c r="H4360">
        <v>35</v>
      </c>
      <c r="I4360" s="57">
        <f>IF(Ventas[[#This Row],[Cantidad]]="","",+Ventas[[#This Row],[Cantidad]]*Ventas[[#This Row],[Precio]])</f>
        <v>35</v>
      </c>
      <c r="J4360" s="57" t="str">
        <f>IFERROR(+VLOOKUP(Ventas[[#This Row],[Codigo de Producto]],Productos[#All],2,FALSE),"")</f>
        <v>Silco</v>
      </c>
      <c r="K4360" s="57">
        <f>IFERROR(+VLOOKUP(Ventas[[#This Row],[Codigo de Producto]],Productos[#All],9,FALSE),"")</f>
        <v>26</v>
      </c>
      <c r="M4360" s="57">
        <f t="shared" si="1300"/>
        <v>26</v>
      </c>
      <c r="N4360" s="57">
        <f t="shared" si="1301"/>
        <v>9</v>
      </c>
    </row>
    <row r="4361" spans="1:14" x14ac:dyDescent="0.25">
      <c r="A4361">
        <v>207</v>
      </c>
      <c r="B4361" s="1">
        <v>44176</v>
      </c>
      <c r="C4361" s="57" t="str">
        <f>IF(Ventas[[#This Row],[Fecha ]]="","",+TEXT(B4361,"mmmm"))</f>
        <v>diciembre</v>
      </c>
      <c r="D4361" s="57" t="str">
        <f>IFERROR(+VLOOKUP(Ventas[[#This Row],[Codigo de Producto]],Productos[#All],3,FALSE),"")</f>
        <v>Otro</v>
      </c>
      <c r="E4361" t="s">
        <v>902</v>
      </c>
      <c r="F4361" s="57" t="str">
        <f>IFERROR(+VLOOKUP(Ventas[[#This Row],[Codigo de Producto]],Productos[#All],4,FALSE),"")</f>
        <v>Esponja</v>
      </c>
      <c r="G4361">
        <v>1</v>
      </c>
      <c r="H4361">
        <v>35</v>
      </c>
      <c r="I4361" s="57">
        <f>IF(Ventas[[#This Row],[Cantidad]]="","",+Ventas[[#This Row],[Cantidad]]*Ventas[[#This Row],[Precio]])</f>
        <v>35</v>
      </c>
      <c r="J4361" s="57" t="str">
        <f>IFERROR(+VLOOKUP(Ventas[[#This Row],[Codigo de Producto]],Productos[#All],2,FALSE),"")</f>
        <v>Rodriguez</v>
      </c>
      <c r="K4361" s="57">
        <f>IFERROR(+VLOOKUP(Ventas[[#This Row],[Codigo de Producto]],Productos[#All],9,FALSE),"")</f>
        <v>25</v>
      </c>
      <c r="M4361" s="57">
        <f t="shared" si="1300"/>
        <v>25</v>
      </c>
      <c r="N4361" s="57">
        <f t="shared" si="1301"/>
        <v>10</v>
      </c>
    </row>
    <row r="4362" spans="1:14" x14ac:dyDescent="0.25">
      <c r="A4362">
        <v>208</v>
      </c>
      <c r="B4362" s="1">
        <v>44176</v>
      </c>
      <c r="C4362" s="57" t="str">
        <f>IF(Ventas[[#This Row],[Fecha ]]="","",+TEXT(B4362,"mmmm"))</f>
        <v>diciembre</v>
      </c>
      <c r="D4362" s="57" t="str">
        <f>IFERROR(+VLOOKUP(Ventas[[#This Row],[Codigo de Producto]],Productos[#All],3,FALSE),"")</f>
        <v>Cerámica</v>
      </c>
      <c r="E4362" t="s">
        <v>905</v>
      </c>
      <c r="F4362" s="57" t="str">
        <f>IFERROR(+VLOOKUP(Ventas[[#This Row],[Codigo de Producto]],Productos[#All],4,FALSE),"")</f>
        <v>Carrara Blanco</v>
      </c>
      <c r="G4362">
        <v>40</v>
      </c>
      <c r="H4362">
        <v>265</v>
      </c>
      <c r="I4362" s="57">
        <f>IF(Ventas[[#This Row],[Cantidad]]="","",+Ventas[[#This Row],[Cantidad]]*Ventas[[#This Row],[Precio]])</f>
        <v>10600</v>
      </c>
      <c r="J4362" s="57" t="str">
        <f>IFERROR(+VLOOKUP(Ventas[[#This Row],[Codigo de Producto]],Productos[#All],2,FALSE),"")</f>
        <v>Comasa</v>
      </c>
      <c r="K4362" s="57">
        <f ca="1">IFERROR(+VLOOKUP(Ventas[[#This Row],[Codigo de Producto]],Productos[#All],9,FALSE),"")</f>
        <v>237</v>
      </c>
      <c r="M4362" s="57">
        <f t="shared" ca="1" si="1300"/>
        <v>9480</v>
      </c>
      <c r="N4362" s="57">
        <f t="shared" ca="1" si="1301"/>
        <v>1120</v>
      </c>
    </row>
    <row r="4363" spans="1:14" x14ac:dyDescent="0.25">
      <c r="A4363">
        <v>209</v>
      </c>
      <c r="B4363" s="1">
        <v>44177</v>
      </c>
      <c r="C4363" s="57" t="str">
        <f>IF(Ventas[[#This Row],[Fecha ]]="","",+TEXT(B4363,"mmmm"))</f>
        <v>diciembre</v>
      </c>
      <c r="D4363" s="57" t="str">
        <f>IFERROR(+VLOOKUP(Ventas[[#This Row],[Codigo de Producto]],Productos[#All],3,FALSE),"")</f>
        <v>Cerámica</v>
      </c>
      <c r="E4363" t="s">
        <v>901</v>
      </c>
      <c r="F4363" s="57" t="str">
        <f>IFERROR(+VLOOKUP(Ventas[[#This Row],[Codigo de Producto]],Productos[#All],4,FALSE),"")</f>
        <v>722 Azul</v>
      </c>
      <c r="G4363">
        <v>2</v>
      </c>
      <c r="H4363">
        <v>240</v>
      </c>
      <c r="I4363" s="57">
        <f>IF(Ventas[[#This Row],[Cantidad]]="","",+Ventas[[#This Row],[Cantidad]]*Ventas[[#This Row],[Precio]])</f>
        <v>480</v>
      </c>
      <c r="J4363" s="57" t="str">
        <f>IFERROR(+VLOOKUP(Ventas[[#This Row],[Codigo de Producto]],Productos[#All],2,FALSE),"")</f>
        <v>Dispiasa</v>
      </c>
      <c r="K4363" s="57">
        <f ca="1">IFERROR(+VLOOKUP(Ventas[[#This Row],[Codigo de Producto]],Productos[#All],9,FALSE),"")</f>
        <v>207</v>
      </c>
      <c r="M4363" s="57">
        <f t="shared" ca="1" si="1300"/>
        <v>414</v>
      </c>
      <c r="N4363" s="57">
        <f t="shared" ca="1" si="1301"/>
        <v>66</v>
      </c>
    </row>
    <row r="4364" spans="1:14" x14ac:dyDescent="0.25">
      <c r="A4364">
        <v>210</v>
      </c>
      <c r="B4364" s="1">
        <v>44177</v>
      </c>
      <c r="C4364" s="57" t="str">
        <f>IF(Ventas[[#This Row],[Fecha ]]="","",+TEXT(B4364,"mmmm"))</f>
        <v>diciembre</v>
      </c>
      <c r="D4364" s="57" t="str">
        <f>IFERROR(+VLOOKUP(Ventas[[#This Row],[Codigo de Producto]],Productos[#All],3,FALSE),"")</f>
        <v>Cerámica</v>
      </c>
      <c r="E4364" t="s">
        <v>738</v>
      </c>
      <c r="F4364" s="57" t="str">
        <f>IFERROR(+VLOOKUP(Ventas[[#This Row],[Codigo de Producto]],Productos[#All],4,FALSE),"")</f>
        <v>Dubai Beige</v>
      </c>
      <c r="G4364">
        <f>12/9</f>
        <v>1.3333333333333333</v>
      </c>
      <c r="H4364">
        <v>300</v>
      </c>
      <c r="I4364" s="57">
        <f>IF(Ventas[[#This Row],[Cantidad]]="","",+Ventas[[#This Row],[Cantidad]]*Ventas[[#This Row],[Precio]])</f>
        <v>400</v>
      </c>
      <c r="J4364" s="57" t="str">
        <f>IFERROR(+VLOOKUP(Ventas[[#This Row],[Codigo de Producto]],Productos[#All],2,FALSE),"")</f>
        <v>Dispiasa</v>
      </c>
      <c r="K4364" s="57">
        <f>IFERROR(+VLOOKUP(Ventas[[#This Row],[Codigo de Producto]],Productos[#All],9,FALSE),"")</f>
        <v>268</v>
      </c>
      <c r="M4364" s="57">
        <f t="shared" si="1300"/>
        <v>357.33333333333331</v>
      </c>
      <c r="N4364" s="57">
        <f t="shared" si="1301"/>
        <v>42.666666666666686</v>
      </c>
    </row>
    <row r="4365" spans="1:14" x14ac:dyDescent="0.25">
      <c r="A4365">
        <v>211</v>
      </c>
      <c r="B4365" s="1">
        <v>44177</v>
      </c>
      <c r="C4365" s="57" t="str">
        <f>IF(Ventas[[#This Row],[Fecha ]]="","",+TEXT(B4365,"mmmm"))</f>
        <v>diciembre</v>
      </c>
      <c r="D4365" s="57" t="str">
        <f>IFERROR(+VLOOKUP(Ventas[[#This Row],[Codigo de Producto]],Productos[#All],3,FALSE),"")</f>
        <v>Porcelana</v>
      </c>
      <c r="E4365" t="s">
        <v>708</v>
      </c>
      <c r="F4365" s="57" t="str">
        <f>IFERROR(+VLOOKUP(Ventas[[#This Row],[Codigo de Producto]],Productos[#All],4,FALSE),"")</f>
        <v xml:space="preserve">Porcelana Maya </v>
      </c>
      <c r="G4365">
        <v>1</v>
      </c>
      <c r="H4365">
        <v>60</v>
      </c>
      <c r="I4365" s="57">
        <f>IF(Ventas[[#This Row],[Cantidad]]="","",+Ventas[[#This Row],[Cantidad]]*Ventas[[#This Row],[Precio]])</f>
        <v>60</v>
      </c>
      <c r="J4365" s="57" t="str">
        <f>IFERROR(+VLOOKUP(Ventas[[#This Row],[Codigo de Producto]],Productos[#All],2,FALSE),"")</f>
        <v>Martinez</v>
      </c>
      <c r="K4365" s="57">
        <f>IFERROR(+VLOOKUP(Ventas[[#This Row],[Codigo de Producto]],Productos[#All],9,FALSE),"")</f>
        <v>33.333333333333336</v>
      </c>
      <c r="M4365" s="57">
        <f t="shared" si="1300"/>
        <v>33.333333333333336</v>
      </c>
      <c r="N4365" s="57">
        <f t="shared" si="1301"/>
        <v>26.666666666666664</v>
      </c>
    </row>
    <row r="4366" spans="1:14" x14ac:dyDescent="0.25">
      <c r="A4366">
        <v>212</v>
      </c>
      <c r="B4366" s="1">
        <v>44177</v>
      </c>
      <c r="C4366" s="57" t="str">
        <f>IF(Ventas[[#This Row],[Fecha ]]="","",+TEXT(B4366,"mmmm"))</f>
        <v>diciembre</v>
      </c>
      <c r="D4366" s="57" t="str">
        <f>IFERROR(+VLOOKUP(Ventas[[#This Row],[Codigo de Producto]],Productos[#All],3,FALSE),"")</f>
        <v>Bond</v>
      </c>
      <c r="E4366" t="s">
        <v>704</v>
      </c>
      <c r="F4366" s="57" t="str">
        <f>IFERROR(+VLOOKUP(Ventas[[#This Row],[Codigo de Producto]],Productos[#All],4,FALSE),"")</f>
        <v>Drytec Bond Plus</v>
      </c>
      <c r="G4366">
        <v>1</v>
      </c>
      <c r="H4366">
        <v>155</v>
      </c>
      <c r="I4366" s="57">
        <f>IF(Ventas[[#This Row],[Cantidad]]="","",+Ventas[[#This Row],[Cantidad]]*Ventas[[#This Row],[Precio]])</f>
        <v>155</v>
      </c>
      <c r="J4366" s="57" t="str">
        <f>IFERROR(+VLOOKUP(Ventas[[#This Row],[Codigo de Producto]],Productos[#All],2,FALSE),"")</f>
        <v>Comasa</v>
      </c>
      <c r="K4366" s="57">
        <f>IFERROR(+VLOOKUP(Ventas[[#This Row],[Codigo de Producto]],Productos[#All],9,FALSE),"")</f>
        <v>127</v>
      </c>
      <c r="M4366" s="57">
        <f t="shared" si="1300"/>
        <v>127</v>
      </c>
      <c r="N4366" s="57">
        <f t="shared" si="1301"/>
        <v>28</v>
      </c>
    </row>
    <row r="4367" spans="1:14" x14ac:dyDescent="0.25">
      <c r="A4367">
        <v>213</v>
      </c>
      <c r="B4367" s="1">
        <v>44177</v>
      </c>
      <c r="C4367" s="57" t="str">
        <f>IF(Ventas[[#This Row],[Fecha ]]="","",+TEXT(B4367,"mmmm"))</f>
        <v>diciembre</v>
      </c>
      <c r="D4367" s="57" t="str">
        <f>IFERROR(+VLOOKUP(Ventas[[#This Row],[Codigo de Producto]],Productos[#All],3,FALSE),"")</f>
        <v>Azulejos</v>
      </c>
      <c r="E4367" t="s">
        <v>870</v>
      </c>
      <c r="F4367" s="57" t="str">
        <f>IFERROR(+VLOOKUP(Ventas[[#This Row],[Codigo de Producto]],Productos[#All],4,FALSE),"")</f>
        <v>Andes Plus Blanco</v>
      </c>
      <c r="G4367">
        <f>2/16</f>
        <v>0.125</v>
      </c>
      <c r="H4367">
        <v>300</v>
      </c>
      <c r="I4367" s="57">
        <f>IF(Ventas[[#This Row],[Cantidad]]="","",+Ventas[[#This Row],[Cantidad]]*Ventas[[#This Row],[Precio]])</f>
        <v>37.5</v>
      </c>
      <c r="J4367" s="57" t="str">
        <f>IFERROR(+VLOOKUP(Ventas[[#This Row],[Codigo de Producto]],Productos[#All],2,FALSE),"")</f>
        <v>Comasa</v>
      </c>
      <c r="K4367" s="57">
        <f ca="1">IFERROR(+VLOOKUP(Ventas[[#This Row],[Codigo de Producto]],Productos[#All],9,FALSE),"")</f>
        <v>272</v>
      </c>
      <c r="M4367" s="57">
        <f t="shared" ca="1" si="1300"/>
        <v>34</v>
      </c>
      <c r="N4367" s="57">
        <f t="shared" ca="1" si="1301"/>
        <v>3.5</v>
      </c>
    </row>
    <row r="4368" spans="1:14" x14ac:dyDescent="0.25">
      <c r="A4368">
        <v>214</v>
      </c>
      <c r="B4368" s="1">
        <v>44177</v>
      </c>
      <c r="C4368" s="57" t="str">
        <f>IF(Ventas[[#This Row],[Fecha ]]="","",+TEXT(B4368,"mmmm"))</f>
        <v>diciembre</v>
      </c>
      <c r="D4368" s="57" t="str">
        <f>IFERROR(+VLOOKUP(Ventas[[#This Row],[Codigo de Producto]],Productos[#All],3,FALSE),"")</f>
        <v>Cerámica</v>
      </c>
      <c r="E4368" t="s">
        <v>699</v>
      </c>
      <c r="F4368" s="57" t="str">
        <f>IFERROR(+VLOOKUP(Ventas[[#This Row],[Codigo de Producto]],Productos[#All],4,FALSE),"")</f>
        <v>Palestina negro</v>
      </c>
      <c r="G4368">
        <f>4/9</f>
        <v>0.44444444444444442</v>
      </c>
      <c r="H4368">
        <v>300</v>
      </c>
      <c r="I4368" s="57">
        <f>IF(Ventas[[#This Row],[Cantidad]]="","",+Ventas[[#This Row],[Cantidad]]*Ventas[[#This Row],[Precio]])</f>
        <v>133.33333333333331</v>
      </c>
      <c r="J4368" s="57" t="str">
        <f>IFERROR(+VLOOKUP(Ventas[[#This Row],[Codigo de Producto]],Productos[#All],2,FALSE),"")</f>
        <v>Dispiasa</v>
      </c>
      <c r="K4368" s="57">
        <f>IFERROR(+VLOOKUP(Ventas[[#This Row],[Codigo de Producto]],Productos[#All],9,FALSE),"")</f>
        <v>268</v>
      </c>
      <c r="M4368" s="57">
        <f t="shared" si="1300"/>
        <v>119.1111111111111</v>
      </c>
      <c r="N4368" s="57">
        <f t="shared" si="1301"/>
        <v>14.222222222222214</v>
      </c>
    </row>
    <row r="4369" spans="1:14" x14ac:dyDescent="0.25">
      <c r="A4369">
        <v>215</v>
      </c>
      <c r="B4369" s="1">
        <v>44177</v>
      </c>
      <c r="C4369" s="57" t="str">
        <f>IF(Ventas[[#This Row],[Fecha ]]="","",+TEXT(B4369,"mmmm"))</f>
        <v>diciembre</v>
      </c>
      <c r="D4369" s="57" t="str">
        <f>IFERROR(+VLOOKUP(Ventas[[#This Row],[Codigo de Producto]],Productos[#All],3,FALSE),"")</f>
        <v>Inodoro</v>
      </c>
      <c r="E4369" t="s">
        <v>885</v>
      </c>
      <c r="F4369" s="57" t="str">
        <f>IFERROR(+VLOOKUP(Ventas[[#This Row],[Codigo de Producto]],Productos[#All],4,FALSE),"")</f>
        <v>Asiento Redondo Ecoline Blanco</v>
      </c>
      <c r="G4369">
        <v>1</v>
      </c>
      <c r="H4369">
        <v>400</v>
      </c>
      <c r="I4369" s="57">
        <f>IF(Ventas[[#This Row],[Cantidad]]="","",+Ventas[[#This Row],[Cantidad]]*Ventas[[#This Row],[Precio]])</f>
        <v>400</v>
      </c>
      <c r="J4369" s="57" t="str">
        <f>IFERROR(+VLOOKUP(Ventas[[#This Row],[Codigo de Producto]],Productos[#All],2,FALSE),"")</f>
        <v>Dispiasa</v>
      </c>
      <c r="K4369" s="57">
        <f ca="1">IFERROR(+VLOOKUP(Ventas[[#This Row],[Codigo de Producto]],Productos[#All],9,FALSE),"")</f>
        <v>311</v>
      </c>
      <c r="M4369" s="57">
        <f t="shared" ca="1" si="1300"/>
        <v>311</v>
      </c>
      <c r="N4369" s="57">
        <f t="shared" ca="1" si="1301"/>
        <v>89</v>
      </c>
    </row>
    <row r="4370" spans="1:14" x14ac:dyDescent="0.25">
      <c r="A4370">
        <v>216</v>
      </c>
      <c r="B4370" s="1">
        <v>44177</v>
      </c>
      <c r="C4370" s="57" t="str">
        <f>IF(Ventas[[#This Row],[Fecha ]]="","",+TEXT(B4370,"mmmm"))</f>
        <v>diciembre</v>
      </c>
      <c r="D4370" s="57" t="str">
        <f>IFERROR(+VLOOKUP(Ventas[[#This Row],[Codigo de Producto]],Productos[#All],3,FALSE),"")</f>
        <v>Cerámica</v>
      </c>
      <c r="E4370" t="s">
        <v>663</v>
      </c>
      <c r="F4370" s="57" t="str">
        <f>IFERROR(+VLOOKUP(Ventas[[#This Row],[Codigo de Producto]],Productos[#All],4,FALSE),"")</f>
        <v>Mosaico Verde</v>
      </c>
      <c r="G4370">
        <v>1</v>
      </c>
      <c r="H4370">
        <v>300</v>
      </c>
      <c r="I4370" s="57">
        <f>IF(Ventas[[#This Row],[Cantidad]]="","",+Ventas[[#This Row],[Cantidad]]*Ventas[[#This Row],[Precio]])</f>
        <v>300</v>
      </c>
      <c r="J4370" s="57" t="str">
        <f>IFERROR(+VLOOKUP(Ventas[[#This Row],[Codigo de Producto]],Productos[#All],2,FALSE),"")</f>
        <v>Dispiasa</v>
      </c>
      <c r="K4370" s="57">
        <f>IFERROR(+VLOOKUP(Ventas[[#This Row],[Codigo de Producto]],Productos[#All],9,FALSE),"")</f>
        <v>268</v>
      </c>
      <c r="M4370" s="57">
        <f t="shared" si="1300"/>
        <v>268</v>
      </c>
      <c r="N4370" s="57">
        <f t="shared" si="1301"/>
        <v>32</v>
      </c>
    </row>
    <row r="4371" spans="1:14" x14ac:dyDescent="0.25">
      <c r="A4371">
        <v>217</v>
      </c>
      <c r="B4371" s="1">
        <v>44177</v>
      </c>
      <c r="C4371" s="57" t="str">
        <f>IF(Ventas[[#This Row],[Fecha ]]="","",+TEXT(B4371,"mmmm"))</f>
        <v>diciembre</v>
      </c>
      <c r="D4371" s="57" t="str">
        <f>IFERROR(+VLOOKUP(Ventas[[#This Row],[Codigo de Producto]],Productos[#All],3,FALSE),"")</f>
        <v>Otro</v>
      </c>
      <c r="E4371" t="s">
        <v>860</v>
      </c>
      <c r="F4371" s="57" t="str">
        <f>IFERROR(+VLOOKUP(Ventas[[#This Row],[Codigo de Producto]],Productos[#All],4,FALSE),"")</f>
        <v>Ácido Muriático</v>
      </c>
      <c r="G4371">
        <v>2</v>
      </c>
      <c r="H4371">
        <v>60</v>
      </c>
      <c r="I4371" s="57">
        <f>IF(Ventas[[#This Row],[Cantidad]]="","",+Ventas[[#This Row],[Cantidad]]*Ventas[[#This Row],[Precio]])</f>
        <v>120</v>
      </c>
      <c r="J4371" s="57" t="str">
        <f>IFERROR(+VLOOKUP(Ventas[[#This Row],[Codigo de Producto]],Productos[#All],2,FALSE),"")</f>
        <v>Rodriguez</v>
      </c>
      <c r="K4371" s="57">
        <f>IFERROR(+VLOOKUP(Ventas[[#This Row],[Codigo de Producto]],Productos[#All],9,FALSE),"")</f>
        <v>50.5</v>
      </c>
      <c r="M4371" s="57">
        <f t="shared" si="1300"/>
        <v>101</v>
      </c>
      <c r="N4371" s="57">
        <f t="shared" si="1301"/>
        <v>19</v>
      </c>
    </row>
    <row r="4372" spans="1:14" x14ac:dyDescent="0.25">
      <c r="A4372">
        <v>218</v>
      </c>
      <c r="B4372" s="1">
        <v>44177</v>
      </c>
      <c r="C4372" s="57" t="str">
        <f>IF(Ventas[[#This Row],[Fecha ]]="","",+TEXT(B4372,"mmmm"))</f>
        <v>diciembre</v>
      </c>
      <c r="D4372" s="57" t="str">
        <f>IFERROR(+VLOOKUP(Ventas[[#This Row],[Codigo de Producto]],Productos[#All],3,FALSE),"")</f>
        <v>Cerámica</v>
      </c>
      <c r="E4372" t="s">
        <v>695</v>
      </c>
      <c r="F4372" s="57" t="str">
        <f>IFERROR(+VLOOKUP(Ventas[[#This Row],[Codigo de Producto]],Productos[#All],4,FALSE),"")</f>
        <v>Florencia Marrón</v>
      </c>
      <c r="G4372">
        <v>1</v>
      </c>
      <c r="H4372">
        <v>300</v>
      </c>
      <c r="I4372" s="57">
        <f>IF(Ventas[[#This Row],[Cantidad]]="","",+Ventas[[#This Row],[Cantidad]]*Ventas[[#This Row],[Precio]])</f>
        <v>300</v>
      </c>
      <c r="J4372" s="57" t="str">
        <f>IFERROR(+VLOOKUP(Ventas[[#This Row],[Codigo de Producto]],Productos[#All],2,FALSE),"")</f>
        <v>Dispiasa</v>
      </c>
      <c r="K4372" s="57">
        <f>IFERROR(+VLOOKUP(Ventas[[#This Row],[Codigo de Producto]],Productos[#All],9,FALSE),"")</f>
        <v>268</v>
      </c>
      <c r="M4372" s="57">
        <f t="shared" si="1300"/>
        <v>268</v>
      </c>
      <c r="N4372" s="57">
        <f t="shared" si="1301"/>
        <v>32</v>
      </c>
    </row>
    <row r="4373" spans="1:14" x14ac:dyDescent="0.25">
      <c r="A4373">
        <v>219</v>
      </c>
      <c r="B4373" s="1">
        <v>44177</v>
      </c>
      <c r="C4373" s="57" t="str">
        <f>IF(Ventas[[#This Row],[Fecha ]]="","",+TEXT(B4373,"mmmm"))</f>
        <v>diciembre</v>
      </c>
      <c r="D4373" s="57" t="str">
        <f>IFERROR(+VLOOKUP(Ventas[[#This Row],[Codigo de Producto]],Productos[#All],3,FALSE),"")</f>
        <v>Cerámica</v>
      </c>
      <c r="E4373" t="s">
        <v>871</v>
      </c>
      <c r="F4373" s="57" t="str">
        <f>IFERROR(+VLOOKUP(Ventas[[#This Row],[Codigo de Producto]],Productos[#All],4,FALSE),"")</f>
        <v>Piso Incenor Plain White 58x58</v>
      </c>
      <c r="G4373">
        <v>11.151999999999999</v>
      </c>
      <c r="H4373" s="58">
        <v>250</v>
      </c>
      <c r="I4373" s="57">
        <f>IF(Ventas[[#This Row],[Cantidad]]="","",+Ventas[[#This Row],[Cantidad]]*Ventas[[#This Row],[Precio]])</f>
        <v>2788</v>
      </c>
      <c r="J4373" s="57" t="str">
        <f>IFERROR(+VLOOKUP(Ventas[[#This Row],[Codigo de Producto]],Productos[#All],2,FALSE),"")</f>
        <v>Halcón</v>
      </c>
      <c r="K4373" s="57">
        <f ca="1">IFERROR(+VLOOKUP(Ventas[[#This Row],[Codigo de Producto]],Productos[#All],9,FALSE),"")</f>
        <v>225</v>
      </c>
      <c r="M4373" s="57">
        <f t="shared" ca="1" si="1300"/>
        <v>2509.1999999999998</v>
      </c>
      <c r="N4373" s="57">
        <f t="shared" ca="1" si="1301"/>
        <v>278.80000000000018</v>
      </c>
    </row>
    <row r="4374" spans="1:14" x14ac:dyDescent="0.25">
      <c r="A4374">
        <v>220</v>
      </c>
      <c r="B4374" s="1">
        <v>44177</v>
      </c>
      <c r="C4374" s="57" t="str">
        <f>IF(Ventas[[#This Row],[Fecha ]]="","",+TEXT(B4374,"mmmm"))</f>
        <v>diciembre</v>
      </c>
      <c r="D4374" s="57" t="str">
        <f>IFERROR(+VLOOKUP(Ventas[[#This Row],[Codigo de Producto]],Productos[#All],3,FALSE),"")</f>
        <v>Inodoro</v>
      </c>
      <c r="E4374" t="s">
        <v>618</v>
      </c>
      <c r="F4374" s="57" t="str">
        <f>IFERROR(+VLOOKUP(Ventas[[#This Row],[Codigo de Producto]],Productos[#All],4,FALSE),"")</f>
        <v>Inodoro Aqua Blanco</v>
      </c>
      <c r="G4374">
        <v>1</v>
      </c>
      <c r="H4374">
        <v>1650</v>
      </c>
      <c r="I4374" s="57">
        <f>IF(Ventas[[#This Row],[Cantidad]]="","",+Ventas[[#This Row],[Cantidad]]*Ventas[[#This Row],[Precio]])</f>
        <v>1650</v>
      </c>
      <c r="J4374" s="57" t="str">
        <f>IFERROR(+VLOOKUP(Ventas[[#This Row],[Codigo de Producto]],Productos[#All],2,FALSE),"")</f>
        <v>Dispiasa</v>
      </c>
      <c r="K4374" s="57">
        <f>IFERROR(+VLOOKUP(Ventas[[#This Row],[Codigo de Producto]],Productos[#All],9,FALSE),"")</f>
        <v>1440</v>
      </c>
      <c r="M4374" s="57">
        <f t="shared" si="1300"/>
        <v>1440</v>
      </c>
      <c r="N4374" s="57">
        <f t="shared" si="1301"/>
        <v>210</v>
      </c>
    </row>
    <row r="4375" spans="1:14" x14ac:dyDescent="0.25">
      <c r="A4375">
        <v>221</v>
      </c>
      <c r="B4375" s="1">
        <v>44177</v>
      </c>
      <c r="C4375" s="57" t="str">
        <f>IF(Ventas[[#This Row],[Fecha ]]="","",+TEXT(B4375,"mmmm"))</f>
        <v>diciembre</v>
      </c>
      <c r="D4375" s="57" t="str">
        <f>IFERROR(+VLOOKUP(Ventas[[#This Row],[Codigo de Producto]],Productos[#All],3,FALSE),"")</f>
        <v>Cerámica</v>
      </c>
      <c r="E4375" t="s">
        <v>625</v>
      </c>
      <c r="F4375" s="57" t="str">
        <f>IFERROR(+VLOOKUP(Ventas[[#This Row],[Codigo de Producto]],Productos[#All],4,FALSE),"")</f>
        <v>Florencia Beige</v>
      </c>
      <c r="G4375">
        <v>3</v>
      </c>
      <c r="H4375">
        <v>300</v>
      </c>
      <c r="I4375" s="57">
        <f>IF(Ventas[[#This Row],[Cantidad]]="","",+Ventas[[#This Row],[Cantidad]]*Ventas[[#This Row],[Precio]])</f>
        <v>900</v>
      </c>
      <c r="J4375" s="57" t="str">
        <f>IFERROR(+VLOOKUP(Ventas[[#This Row],[Codigo de Producto]],Productos[#All],2,FALSE),"")</f>
        <v>Dispiasa</v>
      </c>
      <c r="K4375" s="57">
        <f>IFERROR(+VLOOKUP(Ventas[[#This Row],[Codigo de Producto]],Productos[#All],9,FALSE),"")</f>
        <v>268</v>
      </c>
      <c r="M4375" s="57">
        <f t="shared" si="1300"/>
        <v>804</v>
      </c>
      <c r="N4375" s="57">
        <f t="shared" si="1301"/>
        <v>96</v>
      </c>
    </row>
    <row r="4376" spans="1:14" x14ac:dyDescent="0.25">
      <c r="A4376">
        <v>222</v>
      </c>
      <c r="B4376" s="1">
        <v>44177</v>
      </c>
      <c r="C4376" s="57" t="str">
        <f>IF(Ventas[[#This Row],[Fecha ]]="","",+TEXT(B4376,"mmmm"))</f>
        <v>diciembre</v>
      </c>
      <c r="D4376" s="57" t="str">
        <f>IFERROR(+VLOOKUP(Ventas[[#This Row],[Codigo de Producto]],Productos[#All],3,FALSE),"")</f>
        <v>Bond</v>
      </c>
      <c r="E4376" t="s">
        <v>704</v>
      </c>
      <c r="F4376" s="57" t="str">
        <f>IFERROR(+VLOOKUP(Ventas[[#This Row],[Codigo de Producto]],Productos[#All],4,FALSE),"")</f>
        <v>Drytec Bond Plus</v>
      </c>
      <c r="G4376">
        <v>2</v>
      </c>
      <c r="H4376">
        <v>155</v>
      </c>
      <c r="I4376" s="57">
        <f>IF(Ventas[[#This Row],[Cantidad]]="","",+Ventas[[#This Row],[Cantidad]]*Ventas[[#This Row],[Precio]])</f>
        <v>310</v>
      </c>
      <c r="J4376" s="57" t="str">
        <f>IFERROR(+VLOOKUP(Ventas[[#This Row],[Codigo de Producto]],Productos[#All],2,FALSE),"")</f>
        <v>Comasa</v>
      </c>
      <c r="K4376" s="57">
        <f>IFERROR(+VLOOKUP(Ventas[[#This Row],[Codigo de Producto]],Productos[#All],9,FALSE),"")</f>
        <v>127</v>
      </c>
      <c r="M4376" s="57">
        <f t="shared" si="1300"/>
        <v>254</v>
      </c>
      <c r="N4376" s="57">
        <f t="shared" si="1301"/>
        <v>56</v>
      </c>
    </row>
    <row r="4377" spans="1:14" x14ac:dyDescent="0.25">
      <c r="A4377">
        <v>223</v>
      </c>
      <c r="B4377" s="1">
        <v>44177</v>
      </c>
      <c r="C4377" s="57" t="str">
        <f>IF(Ventas[[#This Row],[Fecha ]]="","",+TEXT(B4377,"mmmm"))</f>
        <v>diciembre</v>
      </c>
      <c r="D4377" s="57" t="str">
        <f>IFERROR(+VLOOKUP(Ventas[[#This Row],[Codigo de Producto]],Productos[#All],3,FALSE),"")</f>
        <v>Cerámica</v>
      </c>
      <c r="E4377" t="s">
        <v>901</v>
      </c>
      <c r="F4377" s="57" t="str">
        <f>IFERROR(+VLOOKUP(Ventas[[#This Row],[Codigo de Producto]],Productos[#All],4,FALSE),"")</f>
        <v>722 Azul</v>
      </c>
      <c r="G4377">
        <v>11</v>
      </c>
      <c r="H4377">
        <v>240</v>
      </c>
      <c r="I4377" s="57">
        <f>IF(Ventas[[#This Row],[Cantidad]]="","",+Ventas[[#This Row],[Cantidad]]*Ventas[[#This Row],[Precio]])</f>
        <v>2640</v>
      </c>
      <c r="J4377" s="57" t="str">
        <f>IFERROR(+VLOOKUP(Ventas[[#This Row],[Codigo de Producto]],Productos[#All],2,FALSE),"")</f>
        <v>Dispiasa</v>
      </c>
      <c r="K4377" s="57">
        <f ca="1">IFERROR(+VLOOKUP(Ventas[[#This Row],[Codigo de Producto]],Productos[#All],9,FALSE),"")</f>
        <v>207</v>
      </c>
      <c r="M4377" s="57">
        <f t="shared" ca="1" si="1300"/>
        <v>2277</v>
      </c>
      <c r="N4377" s="57">
        <f t="shared" ca="1" si="1301"/>
        <v>363</v>
      </c>
    </row>
    <row r="4378" spans="1:14" x14ac:dyDescent="0.25">
      <c r="A4378">
        <v>224</v>
      </c>
      <c r="B4378" s="1">
        <v>44177</v>
      </c>
      <c r="C4378" s="57" t="str">
        <f>IF(Ventas[[#This Row],[Fecha ]]="","",+TEXT(B4378,"mmmm"))</f>
        <v>diciembre</v>
      </c>
      <c r="D4378" s="57" t="str">
        <f>IFERROR(+VLOOKUP(Ventas[[#This Row],[Codigo de Producto]],Productos[#All],3,FALSE),"")</f>
        <v>Bond</v>
      </c>
      <c r="E4378" t="s">
        <v>704</v>
      </c>
      <c r="F4378" s="57" t="str">
        <f>IFERROR(+VLOOKUP(Ventas[[#This Row],[Codigo de Producto]],Productos[#All],4,FALSE),"")</f>
        <v>Drytec Bond Plus</v>
      </c>
      <c r="G4378">
        <v>2</v>
      </c>
      <c r="H4378">
        <v>155</v>
      </c>
      <c r="I4378" s="57">
        <f>IF(Ventas[[#This Row],[Cantidad]]="","",+Ventas[[#This Row],[Cantidad]]*Ventas[[#This Row],[Precio]])</f>
        <v>310</v>
      </c>
      <c r="J4378" s="57" t="str">
        <f>IFERROR(+VLOOKUP(Ventas[[#This Row],[Codigo de Producto]],Productos[#All],2,FALSE),"")</f>
        <v>Comasa</v>
      </c>
      <c r="K4378" s="57">
        <f>IFERROR(+VLOOKUP(Ventas[[#This Row],[Codigo de Producto]],Productos[#All],9,FALSE),"")</f>
        <v>127</v>
      </c>
      <c r="M4378" s="57">
        <f t="shared" si="1300"/>
        <v>254</v>
      </c>
      <c r="N4378" s="57">
        <f t="shared" si="1301"/>
        <v>56</v>
      </c>
    </row>
    <row r="4379" spans="1:14" x14ac:dyDescent="0.25">
      <c r="A4379">
        <v>225</v>
      </c>
      <c r="B4379" s="1">
        <v>44177</v>
      </c>
      <c r="C4379" s="57" t="str">
        <f>IF(Ventas[[#This Row],[Fecha ]]="","",+TEXT(B4379,"mmmm"))</f>
        <v>diciembre</v>
      </c>
      <c r="D4379" s="57" t="str">
        <f>IFERROR(+VLOOKUP(Ventas[[#This Row],[Codigo de Producto]],Productos[#All],3,FALSE),"")</f>
        <v>Porcelana</v>
      </c>
      <c r="E4379" t="s">
        <v>708</v>
      </c>
      <c r="F4379" s="57" t="str">
        <f>IFERROR(+VLOOKUP(Ventas[[#This Row],[Codigo de Producto]],Productos[#All],4,FALSE),"")</f>
        <v xml:space="preserve">Porcelana Maya </v>
      </c>
      <c r="G4379">
        <v>1</v>
      </c>
      <c r="H4379">
        <v>60</v>
      </c>
      <c r="I4379" s="57">
        <f>IF(Ventas[[#This Row],[Cantidad]]="","",+Ventas[[#This Row],[Cantidad]]*Ventas[[#This Row],[Precio]])</f>
        <v>60</v>
      </c>
      <c r="J4379" s="57" t="str">
        <f>IFERROR(+VLOOKUP(Ventas[[#This Row],[Codigo de Producto]],Productos[#All],2,FALSE),"")</f>
        <v>Martinez</v>
      </c>
      <c r="K4379" s="57">
        <f>IFERROR(+VLOOKUP(Ventas[[#This Row],[Codigo de Producto]],Productos[#All],9,FALSE),"")</f>
        <v>33.333333333333336</v>
      </c>
      <c r="M4379" s="57">
        <f t="shared" si="1300"/>
        <v>33.333333333333336</v>
      </c>
      <c r="N4379" s="57">
        <f t="shared" si="1301"/>
        <v>26.666666666666664</v>
      </c>
    </row>
    <row r="4380" spans="1:14" x14ac:dyDescent="0.25">
      <c r="A4380">
        <v>226</v>
      </c>
      <c r="B4380" s="1">
        <v>44177</v>
      </c>
      <c r="C4380" s="57" t="str">
        <f>IF(Ventas[[#This Row],[Fecha ]]="","",+TEXT(B4380,"mmmm"))</f>
        <v>diciembre</v>
      </c>
      <c r="D4380" s="57" t="str">
        <f>IFERROR(+VLOOKUP(Ventas[[#This Row],[Codigo de Producto]],Productos[#All],3,FALSE),"")</f>
        <v>Separadores</v>
      </c>
      <c r="E4380" t="s">
        <v>722</v>
      </c>
      <c r="F4380" s="57" t="str">
        <f>IFERROR(+VLOOKUP(Ventas[[#This Row],[Codigo de Producto]],Productos[#All],4,FALSE),"")</f>
        <v>Separadores de 5 mm</v>
      </c>
      <c r="G4380">
        <v>1</v>
      </c>
      <c r="H4380">
        <v>35</v>
      </c>
      <c r="I4380" s="57">
        <f>IF(Ventas[[#This Row],[Cantidad]]="","",+Ventas[[#This Row],[Cantidad]]*Ventas[[#This Row],[Precio]])</f>
        <v>35</v>
      </c>
      <c r="J4380" s="57" t="str">
        <f>IFERROR(+VLOOKUP(Ventas[[#This Row],[Codigo de Producto]],Productos[#All],2,FALSE),"")</f>
        <v>Silco</v>
      </c>
      <c r="K4380" s="57">
        <f>IFERROR(+VLOOKUP(Ventas[[#This Row],[Codigo de Producto]],Productos[#All],9,FALSE),"")</f>
        <v>22</v>
      </c>
      <c r="M4380" s="57">
        <f t="shared" si="1300"/>
        <v>22</v>
      </c>
      <c r="N4380" s="57">
        <f t="shared" si="1301"/>
        <v>13</v>
      </c>
    </row>
    <row r="4381" spans="1:14" x14ac:dyDescent="0.25">
      <c r="A4381">
        <v>227</v>
      </c>
      <c r="B4381" s="1">
        <v>44177</v>
      </c>
      <c r="C4381" s="57" t="str">
        <f>IF(Ventas[[#This Row],[Fecha ]]="","",+TEXT(B4381,"mmmm"))</f>
        <v>diciembre</v>
      </c>
      <c r="D4381" s="57" t="str">
        <f>IFERROR(+VLOOKUP(Ventas[[#This Row],[Codigo de Producto]],Productos[#All],3,FALSE),"")</f>
        <v>Cerámica</v>
      </c>
      <c r="E4381" t="s">
        <v>913</v>
      </c>
      <c r="F4381" s="57" t="str">
        <f>IFERROR(+VLOOKUP(Ventas[[#This Row],[Codigo de Producto]],Productos[#All],4,FALSE),"")</f>
        <v>Linea Design Pd-17100 Café</v>
      </c>
      <c r="G4381">
        <v>12</v>
      </c>
      <c r="H4381">
        <v>250</v>
      </c>
      <c r="I4381" s="57">
        <f>IF(Ventas[[#This Row],[Cantidad]]="","",+Ventas[[#This Row],[Cantidad]]*Ventas[[#This Row],[Precio]])</f>
        <v>3000</v>
      </c>
      <c r="J4381" s="57" t="str">
        <f>IFERROR(+VLOOKUP(Ventas[[#This Row],[Codigo de Producto]],Productos[#All],2,FALSE),"")</f>
        <v>Comasa</v>
      </c>
      <c r="K4381" s="57">
        <f>IFERROR(+VLOOKUP(Ventas[[#This Row],[Codigo de Producto]],Productos[#All],9,FALSE),"")</f>
        <v>222</v>
      </c>
      <c r="M4381" s="57">
        <f t="shared" si="1300"/>
        <v>2664</v>
      </c>
      <c r="N4381" s="57">
        <f t="shared" ref="N4381:N4412" si="1302">+IF(K4381=0,(""),(I4381-M4381))</f>
        <v>336</v>
      </c>
    </row>
    <row r="4382" spans="1:14" x14ac:dyDescent="0.25">
      <c r="A4382">
        <v>228</v>
      </c>
      <c r="B4382" s="1">
        <v>44177</v>
      </c>
      <c r="C4382" s="57" t="str">
        <f>IF(Ventas[[#This Row],[Fecha ]]="","",+TEXT(B4382,"mmmm"))</f>
        <v>diciembre</v>
      </c>
      <c r="D4382" s="57" t="str">
        <f>IFERROR(+VLOOKUP(Ventas[[#This Row],[Codigo de Producto]],Productos[#All],3,FALSE),"")</f>
        <v>Separadores</v>
      </c>
      <c r="E4382" t="s">
        <v>722</v>
      </c>
      <c r="F4382" s="57" t="str">
        <f>IFERROR(+VLOOKUP(Ventas[[#This Row],[Codigo de Producto]],Productos[#All],4,FALSE),"")</f>
        <v>Separadores de 5 mm</v>
      </c>
      <c r="G4382">
        <v>1</v>
      </c>
      <c r="H4382">
        <v>35</v>
      </c>
      <c r="I4382" s="57">
        <f>IF(Ventas[[#This Row],[Cantidad]]="","",+Ventas[[#This Row],[Cantidad]]*Ventas[[#This Row],[Precio]])</f>
        <v>35</v>
      </c>
      <c r="J4382" s="57" t="str">
        <f>IFERROR(+VLOOKUP(Ventas[[#This Row],[Codigo de Producto]],Productos[#All],2,FALSE),"")</f>
        <v>Silco</v>
      </c>
      <c r="K4382" s="57">
        <f>IFERROR(+VLOOKUP(Ventas[[#This Row],[Codigo de Producto]],Productos[#All],9,FALSE),"")</f>
        <v>22</v>
      </c>
      <c r="M4382" s="57">
        <f t="shared" si="1300"/>
        <v>22</v>
      </c>
      <c r="N4382" s="57">
        <f t="shared" si="1302"/>
        <v>13</v>
      </c>
    </row>
    <row r="4383" spans="1:14" x14ac:dyDescent="0.25">
      <c r="A4383">
        <v>229</v>
      </c>
      <c r="B4383" s="1">
        <v>44177</v>
      </c>
      <c r="C4383" s="57" t="str">
        <f>IF(Ventas[[#This Row],[Fecha ]]="","",+TEXT(B4383,"mmmm"))</f>
        <v>diciembre</v>
      </c>
      <c r="D4383" s="57" t="str">
        <f>IFERROR(+VLOOKUP(Ventas[[#This Row],[Codigo de Producto]],Productos[#All],3,FALSE),"")</f>
        <v>Porcelana</v>
      </c>
      <c r="E4383" t="s">
        <v>708</v>
      </c>
      <c r="F4383" s="57" t="str">
        <f>IFERROR(+VLOOKUP(Ventas[[#This Row],[Codigo de Producto]],Productos[#All],4,FALSE),"")</f>
        <v xml:space="preserve">Porcelana Maya </v>
      </c>
      <c r="G4383">
        <v>1</v>
      </c>
      <c r="H4383">
        <v>60</v>
      </c>
      <c r="I4383" s="57">
        <f>IF(Ventas[[#This Row],[Cantidad]]="","",+Ventas[[#This Row],[Cantidad]]*Ventas[[#This Row],[Precio]])</f>
        <v>60</v>
      </c>
      <c r="J4383" s="57" t="str">
        <f>IFERROR(+VLOOKUP(Ventas[[#This Row],[Codigo de Producto]],Productos[#All],2,FALSE),"")</f>
        <v>Martinez</v>
      </c>
      <c r="K4383" s="57">
        <f>IFERROR(+VLOOKUP(Ventas[[#This Row],[Codigo de Producto]],Productos[#All],9,FALSE),"")</f>
        <v>33.333333333333336</v>
      </c>
      <c r="M4383" s="57">
        <f t="shared" si="1300"/>
        <v>33.333333333333336</v>
      </c>
      <c r="N4383" s="57">
        <f t="shared" si="1302"/>
        <v>26.666666666666664</v>
      </c>
    </row>
    <row r="4384" spans="1:14" x14ac:dyDescent="0.25">
      <c r="A4384">
        <v>230</v>
      </c>
      <c r="B4384" s="1">
        <v>44177</v>
      </c>
      <c r="C4384" s="57" t="str">
        <f>IF(Ventas[[#This Row],[Fecha ]]="","",+TEXT(B4384,"mmmm"))</f>
        <v>diciembre</v>
      </c>
      <c r="D4384" s="57" t="str">
        <f>IFERROR(+VLOOKUP(Ventas[[#This Row],[Codigo de Producto]],Productos[#All],3,FALSE),"")</f>
        <v>Cerámica</v>
      </c>
      <c r="E4384" t="s">
        <v>903</v>
      </c>
      <c r="F4384" s="57" t="str">
        <f>IFERROR(+VLOOKUP(Ventas[[#This Row],[Codigo de Producto]],Productos[#All],4,FALSE),"")</f>
        <v>Amazonas Beige</v>
      </c>
      <c r="G4384">
        <v>2</v>
      </c>
      <c r="H4384">
        <v>360</v>
      </c>
      <c r="I4384" s="57">
        <f>IF(Ventas[[#This Row],[Cantidad]]="","",+Ventas[[#This Row],[Cantidad]]*Ventas[[#This Row],[Precio]])</f>
        <v>720</v>
      </c>
      <c r="J4384" s="57" t="str">
        <f>IFERROR(+VLOOKUP(Ventas[[#This Row],[Codigo de Producto]],Productos[#All],2,FALSE),"")</f>
        <v>Dispiasa</v>
      </c>
      <c r="K4384" s="57">
        <f>IFERROR(+VLOOKUP(Ventas[[#This Row],[Codigo de Producto]],Productos[#All],9,FALSE),"")</f>
        <v>306</v>
      </c>
      <c r="M4384" s="57">
        <f t="shared" si="1300"/>
        <v>612</v>
      </c>
      <c r="N4384" s="57">
        <f t="shared" si="1302"/>
        <v>108</v>
      </c>
    </row>
    <row r="4385" spans="1:14" x14ac:dyDescent="0.25">
      <c r="A4385">
        <v>231</v>
      </c>
      <c r="B4385" s="1">
        <v>44177</v>
      </c>
      <c r="C4385" s="57" t="str">
        <f>IF(Ventas[[#This Row],[Fecha ]]="","",+TEXT(B4385,"mmmm"))</f>
        <v>diciembre</v>
      </c>
      <c r="D4385" s="57" t="str">
        <f>IFERROR(+VLOOKUP(Ventas[[#This Row],[Codigo de Producto]],Productos[#All],3,FALSE),"")</f>
        <v>Cerámica</v>
      </c>
      <c r="E4385" t="s">
        <v>892</v>
      </c>
      <c r="F4385" s="57" t="str">
        <f>IFERROR(+VLOOKUP(Ventas[[#This Row],[Codigo de Producto]],Productos[#All],4,FALSE),"")</f>
        <v>Babilonia Blanco</v>
      </c>
      <c r="G4385">
        <v>3</v>
      </c>
      <c r="H4385">
        <v>240</v>
      </c>
      <c r="I4385" s="57">
        <f>IF(Ventas[[#This Row],[Cantidad]]="","",+Ventas[[#This Row],[Cantidad]]*Ventas[[#This Row],[Precio]])</f>
        <v>720</v>
      </c>
      <c r="J4385" s="57" t="str">
        <f>IFERROR(+VLOOKUP(Ventas[[#This Row],[Codigo de Producto]],Productos[#All],2,FALSE),"")</f>
        <v>Comasa</v>
      </c>
      <c r="K4385" s="57">
        <f ca="1">IFERROR(+VLOOKUP(Ventas[[#This Row],[Codigo de Producto]],Productos[#All],9,FALSE),"")</f>
        <v>216.82</v>
      </c>
      <c r="M4385" s="57">
        <f t="shared" ca="1" si="1300"/>
        <v>650.46</v>
      </c>
      <c r="N4385" s="57">
        <f t="shared" ca="1" si="1302"/>
        <v>69.539999999999964</v>
      </c>
    </row>
  </sheetData>
  <sortState ref="A2:M211">
    <sortCondition sortBy="cellColor" ref="J2:J211" dxfId="15"/>
  </sortState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K13" sqref="K13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14.5703125" customWidth="1"/>
    <col min="4" max="4" width="13.42578125" customWidth="1"/>
    <col min="5" max="5" width="14.5703125" bestFit="1" customWidth="1"/>
    <col min="6" max="6" width="18.42578125" bestFit="1" customWidth="1"/>
    <col min="7" max="7" width="19.5703125" bestFit="1" customWidth="1"/>
    <col min="8" max="8" width="8" customWidth="1"/>
    <col min="9" max="9" width="9.85546875" customWidth="1"/>
    <col min="10" max="10" width="6.85546875" customWidth="1"/>
    <col min="11" max="11" width="5" customWidth="1"/>
    <col min="12" max="12" width="6.7109375" customWidth="1"/>
    <col min="13" max="13" width="11.7109375" bestFit="1" customWidth="1"/>
    <col min="14" max="14" width="9.7109375" customWidth="1"/>
    <col min="15" max="15" width="11.5703125" bestFit="1" customWidth="1"/>
    <col min="16" max="16" width="7.85546875" customWidth="1"/>
    <col min="17" max="17" width="12" bestFit="1" customWidth="1"/>
    <col min="18" max="18" width="12.5703125" bestFit="1" customWidth="1"/>
  </cols>
  <sheetData>
    <row r="1" spans="1:7" x14ac:dyDescent="0.25">
      <c r="B1" s="59" t="s">
        <v>919</v>
      </c>
    </row>
    <row r="2" spans="1:7" x14ac:dyDescent="0.25">
      <c r="B2" t="s">
        <v>917</v>
      </c>
      <c r="D2" t="s">
        <v>918</v>
      </c>
      <c r="F2" t="s">
        <v>920</v>
      </c>
      <c r="G2" t="s">
        <v>921</v>
      </c>
    </row>
    <row r="4" spans="1:7" x14ac:dyDescent="0.25">
      <c r="A4" s="59" t="s">
        <v>915</v>
      </c>
      <c r="B4" t="s">
        <v>914</v>
      </c>
      <c r="C4" t="s">
        <v>922</v>
      </c>
      <c r="D4" t="s">
        <v>914</v>
      </c>
      <c r="E4" t="s">
        <v>922</v>
      </c>
    </row>
    <row r="5" spans="1:7" x14ac:dyDescent="0.25">
      <c r="A5" s="60" t="s">
        <v>55</v>
      </c>
      <c r="B5" s="57">
        <v>38952.811764705883</v>
      </c>
      <c r="C5" s="57">
        <v>36</v>
      </c>
      <c r="D5" s="57">
        <v>18842.916666666664</v>
      </c>
      <c r="E5" s="57">
        <v>21</v>
      </c>
      <c r="F5" s="57">
        <v>57795.728431372554</v>
      </c>
      <c r="G5" s="57">
        <v>57</v>
      </c>
    </row>
    <row r="6" spans="1:7" x14ac:dyDescent="0.25">
      <c r="A6" s="60" t="s">
        <v>92</v>
      </c>
      <c r="B6" s="57">
        <v>1915</v>
      </c>
      <c r="C6" s="57">
        <v>8</v>
      </c>
      <c r="D6" s="57">
        <v>455</v>
      </c>
      <c r="E6" s="57">
        <v>2</v>
      </c>
      <c r="F6" s="57">
        <v>2370</v>
      </c>
      <c r="G6" s="57">
        <v>10</v>
      </c>
    </row>
    <row r="7" spans="1:7" x14ac:dyDescent="0.25">
      <c r="A7" s="60" t="s">
        <v>56</v>
      </c>
      <c r="B7" s="57">
        <v>40280</v>
      </c>
      <c r="C7" s="57">
        <v>33</v>
      </c>
      <c r="D7" s="57">
        <v>21495</v>
      </c>
      <c r="E7" s="57">
        <v>37</v>
      </c>
      <c r="F7" s="57">
        <v>61775</v>
      </c>
      <c r="G7" s="57">
        <v>70</v>
      </c>
    </row>
    <row r="8" spans="1:7" x14ac:dyDescent="0.25">
      <c r="A8" s="60" t="s">
        <v>617</v>
      </c>
      <c r="B8" s="57">
        <v>228397.13888888888</v>
      </c>
      <c r="C8" s="57">
        <v>102</v>
      </c>
      <c r="D8" s="57">
        <v>137826.77816326532</v>
      </c>
      <c r="E8" s="57">
        <v>76</v>
      </c>
      <c r="F8" s="57">
        <v>366223.91705215408</v>
      </c>
      <c r="G8" s="57">
        <v>178</v>
      </c>
    </row>
    <row r="9" spans="1:7" x14ac:dyDescent="0.25">
      <c r="A9" s="60" t="s">
        <v>64</v>
      </c>
      <c r="B9" s="57">
        <v>10788.555555555555</v>
      </c>
      <c r="C9" s="57">
        <v>5</v>
      </c>
      <c r="D9" s="57">
        <v>16196</v>
      </c>
      <c r="E9" s="57">
        <v>6</v>
      </c>
      <c r="F9" s="57">
        <v>26984.555555555555</v>
      </c>
      <c r="G9" s="57">
        <v>11</v>
      </c>
    </row>
    <row r="10" spans="1:7" x14ac:dyDescent="0.25">
      <c r="A10" s="60" t="s">
        <v>68</v>
      </c>
      <c r="B10" s="57">
        <v>680</v>
      </c>
      <c r="C10" s="57">
        <v>1</v>
      </c>
      <c r="D10" s="57">
        <v>195</v>
      </c>
      <c r="E10" s="57">
        <v>3</v>
      </c>
      <c r="F10" s="57">
        <v>875</v>
      </c>
      <c r="G10" s="57">
        <v>4</v>
      </c>
    </row>
    <row r="11" spans="1:7" x14ac:dyDescent="0.25">
      <c r="A11" s="60" t="s">
        <v>70</v>
      </c>
      <c r="B11" s="57">
        <v>20795</v>
      </c>
      <c r="C11" s="57">
        <v>13</v>
      </c>
      <c r="D11" s="57">
        <v>9950</v>
      </c>
      <c r="E11" s="57">
        <v>7</v>
      </c>
      <c r="F11" s="57">
        <v>30745</v>
      </c>
      <c r="G11" s="57">
        <v>20</v>
      </c>
    </row>
    <row r="12" spans="1:7" x14ac:dyDescent="0.25">
      <c r="A12" s="60" t="s">
        <v>85</v>
      </c>
      <c r="B12" s="57">
        <v>10830</v>
      </c>
      <c r="C12" s="57">
        <v>14</v>
      </c>
      <c r="D12" s="57">
        <v>3050</v>
      </c>
      <c r="E12" s="57">
        <v>4</v>
      </c>
      <c r="F12" s="57">
        <v>13880</v>
      </c>
      <c r="G12" s="57">
        <v>18</v>
      </c>
    </row>
    <row r="13" spans="1:7" x14ac:dyDescent="0.25">
      <c r="A13" s="60" t="s">
        <v>75</v>
      </c>
      <c r="B13" s="57">
        <v>1845</v>
      </c>
      <c r="C13" s="57">
        <v>3</v>
      </c>
      <c r="D13" s="57"/>
      <c r="E13" s="57"/>
      <c r="F13" s="57">
        <v>1845</v>
      </c>
      <c r="G13" s="57">
        <v>3</v>
      </c>
    </row>
    <row r="14" spans="1:7" x14ac:dyDescent="0.25">
      <c r="A14" s="60" t="s">
        <v>23</v>
      </c>
      <c r="B14" s="57">
        <v>600</v>
      </c>
      <c r="C14" s="57">
        <v>4</v>
      </c>
      <c r="D14" s="57">
        <v>4540</v>
      </c>
      <c r="E14" s="57">
        <v>8</v>
      </c>
      <c r="F14" s="57">
        <v>5140</v>
      </c>
      <c r="G14" s="57">
        <v>12</v>
      </c>
    </row>
    <row r="15" spans="1:7" x14ac:dyDescent="0.25">
      <c r="A15" s="60" t="s">
        <v>78</v>
      </c>
      <c r="B15" s="57">
        <v>2290</v>
      </c>
      <c r="C15" s="57">
        <v>3</v>
      </c>
      <c r="D15" s="57">
        <v>690</v>
      </c>
      <c r="E15" s="57">
        <v>2</v>
      </c>
      <c r="F15" s="57">
        <v>2980</v>
      </c>
      <c r="G15" s="57">
        <v>5</v>
      </c>
    </row>
    <row r="16" spans="1:7" x14ac:dyDescent="0.25">
      <c r="A16" s="60" t="s">
        <v>24</v>
      </c>
      <c r="B16" s="57">
        <v>2820</v>
      </c>
      <c r="C16" s="57">
        <v>12</v>
      </c>
      <c r="D16" s="57">
        <v>1160</v>
      </c>
      <c r="E16" s="57">
        <v>7</v>
      </c>
      <c r="F16" s="57">
        <v>3980</v>
      </c>
      <c r="G16" s="57">
        <v>19</v>
      </c>
    </row>
    <row r="17" spans="1:7" x14ac:dyDescent="0.25">
      <c r="A17" s="60" t="s">
        <v>25</v>
      </c>
      <c r="B17" s="57">
        <v>6880</v>
      </c>
      <c r="C17" s="57">
        <v>43</v>
      </c>
      <c r="D17" s="57">
        <v>4740</v>
      </c>
      <c r="E17" s="57">
        <v>38</v>
      </c>
      <c r="F17" s="57">
        <v>11620</v>
      </c>
      <c r="G17" s="57">
        <v>81</v>
      </c>
    </row>
    <row r="18" spans="1:7" x14ac:dyDescent="0.25">
      <c r="A18" s="60" t="s">
        <v>26</v>
      </c>
      <c r="B18" s="57">
        <v>49831.8</v>
      </c>
      <c r="C18" s="57">
        <v>9</v>
      </c>
      <c r="D18" s="57"/>
      <c r="E18" s="57"/>
      <c r="F18" s="57">
        <v>49831.8</v>
      </c>
      <c r="G18" s="57">
        <v>9</v>
      </c>
    </row>
    <row r="19" spans="1:7" x14ac:dyDescent="0.25">
      <c r="A19" s="60" t="s">
        <v>541</v>
      </c>
      <c r="B19" s="57">
        <v>750</v>
      </c>
      <c r="C19" s="57">
        <v>2</v>
      </c>
      <c r="D19" s="57">
        <v>1000</v>
      </c>
      <c r="E19" s="57">
        <v>2</v>
      </c>
      <c r="F19" s="57">
        <v>1750</v>
      </c>
      <c r="G19" s="57">
        <v>4</v>
      </c>
    </row>
    <row r="20" spans="1:7" x14ac:dyDescent="0.25">
      <c r="A20" s="60" t="s">
        <v>44</v>
      </c>
      <c r="B20" s="57">
        <v>910</v>
      </c>
      <c r="C20" s="57">
        <v>17</v>
      </c>
      <c r="D20" s="57">
        <v>700</v>
      </c>
      <c r="E20" s="57">
        <v>18</v>
      </c>
      <c r="F20" s="57">
        <v>1610</v>
      </c>
      <c r="G20" s="57">
        <v>35</v>
      </c>
    </row>
    <row r="21" spans="1:7" x14ac:dyDescent="0.25">
      <c r="A21" s="60" t="s">
        <v>916</v>
      </c>
      <c r="B21" s="57">
        <v>418565.30620915041</v>
      </c>
      <c r="C21" s="57">
        <v>305</v>
      </c>
      <c r="D21" s="57">
        <v>220840.69482993198</v>
      </c>
      <c r="E21" s="57">
        <v>231</v>
      </c>
      <c r="F21" s="57">
        <v>639406.00103908218</v>
      </c>
      <c r="G21" s="57">
        <v>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workbookViewId="0">
      <pane ySplit="1" topLeftCell="A344" activePane="bottomLeft" state="frozen"/>
      <selection pane="bottomLeft" activeCell="L369" sqref="L369"/>
    </sheetView>
  </sheetViews>
  <sheetFormatPr baseColWidth="10" defaultRowHeight="15" x14ac:dyDescent="0.25"/>
  <cols>
    <col min="3" max="5" width="25.7109375" customWidth="1"/>
    <col min="10" max="10" width="12.140625" bestFit="1" customWidth="1"/>
  </cols>
  <sheetData>
    <row r="1" spans="1:5" ht="15.75" thickBot="1" x14ac:dyDescent="0.3">
      <c r="A1" s="20" t="s">
        <v>7</v>
      </c>
      <c r="B1" s="49" t="s">
        <v>466</v>
      </c>
      <c r="C1" s="20" t="s">
        <v>199</v>
      </c>
      <c r="D1" s="21" t="s">
        <v>11</v>
      </c>
      <c r="E1" s="22" t="s">
        <v>307</v>
      </c>
    </row>
    <row r="2" spans="1:5" x14ac:dyDescent="0.25">
      <c r="A2" s="62" t="s">
        <v>8</v>
      </c>
      <c r="B2" s="48">
        <v>43831</v>
      </c>
      <c r="C2">
        <f>+SUMIFS(Ventas2020!$I:$I,Ventas2020!$B:$B,'Tendencia Diaria'!B2)</f>
        <v>0</v>
      </c>
      <c r="D2">
        <f>+SUMIFS(Ventas2020!$N:$N,Ventas2020!$B:$B,'Tendencia Diaria'!B2)</f>
        <v>0</v>
      </c>
      <c r="E2" s="23"/>
    </row>
    <row r="3" spans="1:5" x14ac:dyDescent="0.25">
      <c r="A3" s="63"/>
      <c r="B3" s="48">
        <v>43832</v>
      </c>
      <c r="C3">
        <f>+SUMIFS(Ventas2020!$I:$I,Ventas2020!$B:$B,'Tendencia Diaria'!B3)</f>
        <v>67062.188235294117</v>
      </c>
      <c r="D3">
        <f>+SUMIFS(Ventas2020!$N:$N,Ventas2020!$B:$B,'Tendencia Diaria'!B3)</f>
        <v>7526.2498039215689</v>
      </c>
      <c r="E3" s="23">
        <f t="shared" ref="E3:E30" si="0">+D3/C3</f>
        <v>0.11222791862256268</v>
      </c>
    </row>
    <row r="4" spans="1:5" x14ac:dyDescent="0.25">
      <c r="A4" s="63"/>
      <c r="B4" s="48">
        <v>43833</v>
      </c>
      <c r="C4">
        <f>+SUMIFS(Ventas2020!$I:$I,Ventas2020!$B:$B,'Tendencia Diaria'!B4)</f>
        <v>4736.7777777777774</v>
      </c>
      <c r="D4">
        <f>+SUMIFS(Ventas2020!$N:$N,Ventas2020!$B:$B,'Tendencia Diaria'!B4)</f>
        <v>973.65616666666676</v>
      </c>
      <c r="E4" s="23">
        <f t="shared" si="0"/>
        <v>0.20555242663789264</v>
      </c>
    </row>
    <row r="5" spans="1:5" x14ac:dyDescent="0.25">
      <c r="A5" s="63"/>
      <c r="B5" s="48">
        <v>43834</v>
      </c>
      <c r="C5">
        <f>+SUMIFS(Ventas2020!$I:$I,Ventas2020!$B:$B,'Tendencia Diaria'!B5)</f>
        <v>20470.408163265307</v>
      </c>
      <c r="D5">
        <f>+SUMIFS(Ventas2020!$N:$N,Ventas2020!$B:$B,'Tendencia Diaria'!B5)</f>
        <v>3712.3598265306123</v>
      </c>
      <c r="E5" s="23">
        <f t="shared" si="0"/>
        <v>0.18135250635561537</v>
      </c>
    </row>
    <row r="6" spans="1:5" x14ac:dyDescent="0.25">
      <c r="A6" s="63"/>
      <c r="B6" s="48">
        <v>43835</v>
      </c>
      <c r="C6">
        <f>+SUMIFS(Ventas2020!$I:$I,Ventas2020!$B:$B,'Tendencia Diaria'!B6)</f>
        <v>0</v>
      </c>
      <c r="D6">
        <f>+SUMIFS(Ventas2020!$N:$N,Ventas2020!$B:$B,'Tendencia Diaria'!B6)</f>
        <v>0</v>
      </c>
      <c r="E6" s="23"/>
    </row>
    <row r="7" spans="1:5" x14ac:dyDescent="0.25">
      <c r="A7" s="63"/>
      <c r="B7" s="48">
        <v>43836</v>
      </c>
      <c r="C7">
        <f>+SUMIFS(Ventas2020!$I:$I,Ventas2020!$B:$B,'Tendencia Diaria'!B7)</f>
        <v>38635.555555555555</v>
      </c>
      <c r="D7">
        <f>+SUMIFS(Ventas2020!$N:$N,Ventas2020!$B:$B,'Tendencia Diaria'!B7)</f>
        <v>7121.3333333333348</v>
      </c>
      <c r="E7" s="23">
        <f t="shared" si="0"/>
        <v>0.18432071781893483</v>
      </c>
    </row>
    <row r="8" spans="1:5" x14ac:dyDescent="0.25">
      <c r="A8" s="63"/>
      <c r="B8" s="48">
        <v>43837</v>
      </c>
      <c r="C8">
        <f>+SUMIFS(Ventas2020!$I:$I,Ventas2020!$B:$B,'Tendencia Diaria'!B8)</f>
        <v>31246.666666666668</v>
      </c>
      <c r="D8">
        <f>+SUMIFS(Ventas2020!$N:$N,Ventas2020!$B:$B,'Tendencia Diaria'!B8)</f>
        <v>5155.0594999999994</v>
      </c>
      <c r="E8" s="23">
        <f t="shared" si="0"/>
        <v>0.16497950181352675</v>
      </c>
    </row>
    <row r="9" spans="1:5" x14ac:dyDescent="0.25">
      <c r="A9" s="63"/>
      <c r="B9" s="48">
        <v>43838</v>
      </c>
      <c r="C9">
        <f>+SUMIFS(Ventas2020!$I:$I,Ventas2020!$B:$B,'Tendencia Diaria'!B9)</f>
        <v>4163.7908496732025</v>
      </c>
      <c r="D9">
        <f>+SUMIFS(Ventas2020!$N:$N,Ventas2020!$B:$B,'Tendencia Diaria'!B9)</f>
        <v>784.13725490196089</v>
      </c>
      <c r="E9" s="23">
        <f t="shared" si="0"/>
        <v>0.18832292091796693</v>
      </c>
    </row>
    <row r="10" spans="1:5" x14ac:dyDescent="0.25">
      <c r="A10" s="63"/>
      <c r="B10" s="48">
        <v>43839</v>
      </c>
      <c r="C10">
        <f>+SUMIFS(Ventas2020!$I:$I,Ventas2020!$B:$B,'Tendencia Diaria'!B10)</f>
        <v>12793.440522875817</v>
      </c>
      <c r="D10">
        <f>+SUMIFS(Ventas2020!$N:$N,Ventas2020!$B:$B,'Tendencia Diaria'!B10)</f>
        <v>2062.6654901960783</v>
      </c>
      <c r="E10" s="23">
        <f t="shared" si="0"/>
        <v>0.16122836437218335</v>
      </c>
    </row>
    <row r="11" spans="1:5" x14ac:dyDescent="0.25">
      <c r="A11" s="63"/>
      <c r="B11" s="48">
        <v>43840</v>
      </c>
      <c r="C11">
        <f>+SUMIFS(Ventas2020!$I:$I,Ventas2020!$B:$B,'Tendencia Diaria'!B11)</f>
        <v>44567.307189542487</v>
      </c>
      <c r="D11">
        <f>+SUMIFS(Ventas2020!$N:$N,Ventas2020!$B:$B,'Tendencia Diaria'!B11)</f>
        <v>6132.7254901960778</v>
      </c>
      <c r="E11" s="23">
        <f t="shared" si="0"/>
        <v>0.1376059240939532</v>
      </c>
    </row>
    <row r="12" spans="1:5" x14ac:dyDescent="0.25">
      <c r="A12" s="63"/>
      <c r="B12" s="48">
        <v>43841</v>
      </c>
      <c r="C12">
        <f>+SUMIFS(Ventas2020!$I:$I,Ventas2020!$B:$B,'Tendencia Diaria'!B12)</f>
        <v>14645.082352941177</v>
      </c>
      <c r="D12">
        <f>+SUMIFS(Ventas2020!$N:$N,Ventas2020!$B:$B,'Tendencia Diaria'!B12)</f>
        <v>2060.3513725490193</v>
      </c>
      <c r="E12" s="23">
        <f t="shared" si="0"/>
        <v>0.14068554364497909</v>
      </c>
    </row>
    <row r="13" spans="1:5" x14ac:dyDescent="0.25">
      <c r="A13" s="63"/>
      <c r="B13" s="48">
        <v>43842</v>
      </c>
      <c r="C13">
        <f>+SUMIFS(Ventas2020!$I:$I,Ventas2020!$B:$B,'Tendencia Diaria'!B13)</f>
        <v>0</v>
      </c>
      <c r="D13">
        <f>+SUMIFS(Ventas2020!$N:$N,Ventas2020!$B:$B,'Tendencia Diaria'!B13)</f>
        <v>0</v>
      </c>
      <c r="E13" s="23"/>
    </row>
    <row r="14" spans="1:5" x14ac:dyDescent="0.25">
      <c r="A14" s="63"/>
      <c r="B14" s="48">
        <v>43843</v>
      </c>
      <c r="C14">
        <f>+SUMIFS(Ventas2020!$I:$I,Ventas2020!$B:$B,'Tendencia Diaria'!B14)</f>
        <v>21133.643137254898</v>
      </c>
      <c r="D14">
        <f>+SUMIFS(Ventas2020!$N:$N,Ventas2020!$B:$B,'Tendencia Diaria'!B14)</f>
        <v>3432.5351633986925</v>
      </c>
      <c r="E14" s="23">
        <f t="shared" si="0"/>
        <v>0.16242041852915251</v>
      </c>
    </row>
    <row r="15" spans="1:5" x14ac:dyDescent="0.25">
      <c r="A15" s="63"/>
      <c r="B15" s="48">
        <v>43844</v>
      </c>
      <c r="C15">
        <f>+SUMIFS(Ventas2020!$I:$I,Ventas2020!$B:$B,'Tendencia Diaria'!B15)</f>
        <v>23286.910104575163</v>
      </c>
      <c r="D15">
        <f>+SUMIFS(Ventas2020!$N:$N,Ventas2020!$B:$B,'Tendencia Diaria'!B15)</f>
        <v>3526.0886980392161</v>
      </c>
      <c r="E15" s="23">
        <f t="shared" si="0"/>
        <v>0.15141934598469756</v>
      </c>
    </row>
    <row r="16" spans="1:5" x14ac:dyDescent="0.25">
      <c r="A16" s="63"/>
      <c r="B16" s="48">
        <v>43845</v>
      </c>
      <c r="C16">
        <f>+SUMIFS(Ventas2020!$I:$I,Ventas2020!$B:$B,'Tendencia Diaria'!B16)</f>
        <v>24576.657647058826</v>
      </c>
      <c r="D16">
        <f>+SUMIFS(Ventas2020!$N:$N,Ventas2020!$B:$B,'Tendencia Diaria'!B16)</f>
        <v>1992.7219607843138</v>
      </c>
      <c r="E16" s="23">
        <f t="shared" si="0"/>
        <v>8.1081894430131737E-2</v>
      </c>
    </row>
    <row r="17" spans="1:5" x14ac:dyDescent="0.25">
      <c r="A17" s="63"/>
      <c r="B17" s="48">
        <v>43846</v>
      </c>
      <c r="C17">
        <f>+SUMIFS(Ventas2020!$I:$I,Ventas2020!$B:$B,'Tendencia Diaria'!B17)</f>
        <v>10074.444444444445</v>
      </c>
      <c r="D17">
        <f>+SUMIFS(Ventas2020!$N:$N,Ventas2020!$B:$B,'Tendencia Diaria'!B17)</f>
        <v>1890.8888888888889</v>
      </c>
      <c r="E17" s="23">
        <f t="shared" si="0"/>
        <v>0.1876916289842285</v>
      </c>
    </row>
    <row r="18" spans="1:5" x14ac:dyDescent="0.25">
      <c r="A18" s="63"/>
      <c r="B18" s="48">
        <v>43847</v>
      </c>
      <c r="C18">
        <f>+SUMIFS(Ventas2020!$I:$I,Ventas2020!$B:$B,'Tendencia Diaria'!B18)</f>
        <v>29790.882352941175</v>
      </c>
      <c r="D18">
        <f>+SUMIFS(Ventas2020!$N:$N,Ventas2020!$B:$B,'Tendencia Diaria'!B18)</f>
        <v>4826.8447058823531</v>
      </c>
      <c r="E18" s="23">
        <f t="shared" si="0"/>
        <v>0.16202422770488406</v>
      </c>
    </row>
    <row r="19" spans="1:5" x14ac:dyDescent="0.25">
      <c r="A19" s="63"/>
      <c r="B19" s="48">
        <v>43848</v>
      </c>
      <c r="C19">
        <f>+SUMIFS(Ventas2020!$I:$I,Ventas2020!$B:$B,'Tendencia Diaria'!B19)</f>
        <v>11603.566666666666</v>
      </c>
      <c r="D19">
        <f>+SUMIFS(Ventas2020!$N:$N,Ventas2020!$B:$B,'Tendencia Diaria'!B19)</f>
        <v>1536.9233333333329</v>
      </c>
      <c r="E19" s="23">
        <f t="shared" si="0"/>
        <v>0.1324526654160933</v>
      </c>
    </row>
    <row r="20" spans="1:5" x14ac:dyDescent="0.25">
      <c r="A20" s="63"/>
      <c r="B20" s="48">
        <v>43849</v>
      </c>
      <c r="C20">
        <f>+SUMIFS(Ventas2020!$I:$I,Ventas2020!$B:$B,'Tendencia Diaria'!B20)</f>
        <v>0</v>
      </c>
      <c r="D20">
        <f>+SUMIFS(Ventas2020!$N:$N,Ventas2020!$B:$B,'Tendencia Diaria'!B20)</f>
        <v>0</v>
      </c>
      <c r="E20" s="23"/>
    </row>
    <row r="21" spans="1:5" x14ac:dyDescent="0.25">
      <c r="A21" s="63"/>
      <c r="B21" s="48">
        <v>43850</v>
      </c>
      <c r="C21">
        <f>+SUMIFS(Ventas2020!$I:$I,Ventas2020!$B:$B,'Tendencia Diaria'!B21)</f>
        <v>17148.970588235294</v>
      </c>
      <c r="D21">
        <f>+SUMIFS(Ventas2020!$N:$N,Ventas2020!$B:$B,'Tendencia Diaria'!B21)</f>
        <v>2454.1078431372548</v>
      </c>
      <c r="E21" s="23">
        <f t="shared" si="0"/>
        <v>0.1431052569896438</v>
      </c>
    </row>
    <row r="22" spans="1:5" x14ac:dyDescent="0.25">
      <c r="A22" s="63"/>
      <c r="B22" s="48">
        <v>43851</v>
      </c>
      <c r="C22">
        <f>+SUMIFS(Ventas2020!$I:$I,Ventas2020!$B:$B,'Tendencia Diaria'!B22)</f>
        <v>32424.1</v>
      </c>
      <c r="D22">
        <f>+SUMIFS(Ventas2020!$N:$N,Ventas2020!$B:$B,'Tendencia Diaria'!B22)</f>
        <v>5460.0066666666662</v>
      </c>
      <c r="E22" s="23">
        <f t="shared" si="0"/>
        <v>0.16839346864420807</v>
      </c>
    </row>
    <row r="23" spans="1:5" x14ac:dyDescent="0.25">
      <c r="A23" s="63"/>
      <c r="B23" s="48">
        <v>43852</v>
      </c>
      <c r="C23">
        <f>+SUMIFS(Ventas2020!$I:$I,Ventas2020!$B:$B,'Tendencia Diaria'!B23)</f>
        <v>7318.3333333333339</v>
      </c>
      <c r="D23">
        <f>+SUMIFS(Ventas2020!$N:$N,Ventas2020!$B:$B,'Tendencia Diaria'!B23)</f>
        <v>1501.5293333333334</v>
      </c>
      <c r="E23" s="23">
        <f t="shared" si="0"/>
        <v>0.20517367342291049</v>
      </c>
    </row>
    <row r="24" spans="1:5" x14ac:dyDescent="0.25">
      <c r="A24" s="63"/>
      <c r="B24" s="48">
        <v>43853</v>
      </c>
      <c r="C24">
        <f>+SUMIFS(Ventas2020!$I:$I,Ventas2020!$B:$B,'Tendencia Diaria'!B24)</f>
        <v>11195.650588235294</v>
      </c>
      <c r="D24">
        <f>+SUMIFS(Ventas2020!$N:$N,Ventas2020!$B:$B,'Tendencia Diaria'!B24)</f>
        <v>1873.2185098039217</v>
      </c>
      <c r="E24" s="23">
        <f t="shared" si="0"/>
        <v>0.16731662845680023</v>
      </c>
    </row>
    <row r="25" spans="1:5" x14ac:dyDescent="0.25">
      <c r="A25" s="63"/>
      <c r="B25" s="48">
        <v>43854</v>
      </c>
      <c r="C25">
        <f>+SUMIFS(Ventas2020!$I:$I,Ventas2020!$B:$B,'Tendencia Diaria'!B25)</f>
        <v>16710.312418300651</v>
      </c>
      <c r="D25">
        <f>+SUMIFS(Ventas2020!$N:$N,Ventas2020!$B:$B,'Tendencia Diaria'!B25)</f>
        <v>3153.7337254901963</v>
      </c>
      <c r="E25" s="23">
        <f t="shared" si="0"/>
        <v>0.18872978832139117</v>
      </c>
    </row>
    <row r="26" spans="1:5" x14ac:dyDescent="0.25">
      <c r="A26" s="63"/>
      <c r="B26" s="48">
        <v>43855</v>
      </c>
      <c r="C26">
        <f>+SUMIFS(Ventas2020!$I:$I,Ventas2020!$B:$B,'Tendencia Diaria'!B26)</f>
        <v>11727.6</v>
      </c>
      <c r="D26">
        <f>+SUMIFS(Ventas2020!$N:$N,Ventas2020!$B:$B,'Tendencia Diaria'!B26)</f>
        <v>1908.4</v>
      </c>
      <c r="E26" s="23">
        <f t="shared" si="0"/>
        <v>0.16272724172038611</v>
      </c>
    </row>
    <row r="27" spans="1:5" x14ac:dyDescent="0.25">
      <c r="A27" s="63"/>
      <c r="B27" s="48">
        <v>43856</v>
      </c>
      <c r="C27">
        <f>+SUMIFS(Ventas2020!$I:$I,Ventas2020!$B:$B,'Tendencia Diaria'!B27)</f>
        <v>0</v>
      </c>
      <c r="D27">
        <f>+SUMIFS(Ventas2020!$N:$N,Ventas2020!$B:$B,'Tendencia Diaria'!B27)</f>
        <v>0</v>
      </c>
      <c r="E27" s="23"/>
    </row>
    <row r="28" spans="1:5" x14ac:dyDescent="0.25">
      <c r="A28" s="63"/>
      <c r="B28" s="48">
        <v>43857</v>
      </c>
      <c r="C28">
        <f>+SUMIFS(Ventas2020!$I:$I,Ventas2020!$B:$B,'Tendencia Diaria'!B28)</f>
        <v>7920</v>
      </c>
      <c r="D28">
        <f>+SUMIFS(Ventas2020!$N:$N,Ventas2020!$B:$B,'Tendencia Diaria'!B28)</f>
        <v>1213.2233333333334</v>
      </c>
      <c r="E28" s="23">
        <f t="shared" si="0"/>
        <v>0.15318476430976433</v>
      </c>
    </row>
    <row r="29" spans="1:5" x14ac:dyDescent="0.25">
      <c r="A29" s="63"/>
      <c r="B29" s="48">
        <v>43858</v>
      </c>
      <c r="C29">
        <f>+SUMIFS(Ventas2020!$I:$I,Ventas2020!$B:$B,'Tendencia Diaria'!B29)</f>
        <v>54038.688888888893</v>
      </c>
      <c r="D29">
        <f>+SUMIFS(Ventas2020!$N:$N,Ventas2020!$B:$B,'Tendencia Diaria'!B29)</f>
        <v>7382.264444444445</v>
      </c>
      <c r="E29" s="23">
        <f t="shared" si="0"/>
        <v>0.13661072457963244</v>
      </c>
    </row>
    <row r="30" spans="1:5" x14ac:dyDescent="0.25">
      <c r="A30" s="63"/>
      <c r="B30" s="48">
        <v>43859</v>
      </c>
      <c r="C30">
        <f>+SUMIFS(Ventas2020!$I:$I,Ventas2020!$B:$B,'Tendencia Diaria'!B30)</f>
        <v>5405.1960784313724</v>
      </c>
      <c r="D30">
        <f>+SUMIFS(Ventas2020!$N:$N,Ventas2020!$B:$B,'Tendencia Diaria'!B30)</f>
        <v>1020.3921568627452</v>
      </c>
      <c r="E30" s="23">
        <f t="shared" si="0"/>
        <v>0.1887798596122105</v>
      </c>
    </row>
    <row r="31" spans="1:5" x14ac:dyDescent="0.25">
      <c r="A31" s="63"/>
      <c r="B31" s="48">
        <v>43860</v>
      </c>
      <c r="C31">
        <f>+SUMIFS(Ventas2020!$I:$I,Ventas2020!$B:$B,'Tendencia Diaria'!B31)</f>
        <v>3797.76</v>
      </c>
      <c r="D31">
        <f>+SUMIFS(Ventas2020!$N:$N,Ventas2020!$B:$B,'Tendencia Diaria'!B31)</f>
        <v>1053.7440000000001</v>
      </c>
      <c r="E31" s="23">
        <f t="shared" ref="E31:E94" si="1">+D31/C31</f>
        <v>0.27746461071789691</v>
      </c>
    </row>
    <row r="32" spans="1:5" ht="15.75" thickBot="1" x14ac:dyDescent="0.3">
      <c r="A32" s="64"/>
      <c r="B32" s="48">
        <v>43861</v>
      </c>
      <c r="C32">
        <f>+SUMIFS(Ventas2020!$I:$I,Ventas2020!$B:$B,'Tendencia Diaria'!B32)</f>
        <v>12488.525825242719</v>
      </c>
      <c r="D32">
        <f>+SUMIFS(Ventas2020!$N:$N,Ventas2020!$B:$B,'Tendencia Diaria'!B32)</f>
        <v>1849.1119158576053</v>
      </c>
      <c r="E32" s="23">
        <f t="shared" si="1"/>
        <v>0.14806486704139615</v>
      </c>
    </row>
    <row r="33" spans="1:5" ht="16.5" thickTop="1" thickBot="1" x14ac:dyDescent="0.3">
      <c r="A33" s="61" t="s">
        <v>5</v>
      </c>
      <c r="B33" s="61"/>
      <c r="C33" s="36">
        <f>SUM(C2:C32)</f>
        <v>538962.45938720077</v>
      </c>
      <c r="D33" s="36">
        <f>SUM(D2:D32)</f>
        <v>81604.2729175516</v>
      </c>
      <c r="E33" s="37">
        <f t="shared" si="1"/>
        <v>0.15140993866314084</v>
      </c>
    </row>
    <row r="34" spans="1:5" ht="15.75" thickTop="1" x14ac:dyDescent="0.25">
      <c r="A34" s="65" t="s">
        <v>161</v>
      </c>
      <c r="B34" s="48">
        <v>43862</v>
      </c>
      <c r="C34">
        <f>+SUMIFS(Ventas2020!$I:$I,Ventas2020!$B:$B,'Tendencia Diaria'!B34)</f>
        <v>29814.400000000001</v>
      </c>
      <c r="D34">
        <f>+SUMIFS(Ventas2020!$N:$N,Ventas2020!$B:$B,'Tendencia Diaria'!B34)</f>
        <v>4079.0719999999992</v>
      </c>
      <c r="E34" s="23">
        <f t="shared" si="1"/>
        <v>0.1368154985510357</v>
      </c>
    </row>
    <row r="35" spans="1:5" x14ac:dyDescent="0.25">
      <c r="A35" s="63"/>
      <c r="B35" s="48">
        <v>43863</v>
      </c>
      <c r="C35">
        <f>+SUMIFS(Ventas2020!$I:$I,Ventas2020!$B:$B,'Tendencia Diaria'!B35)</f>
        <v>0</v>
      </c>
      <c r="D35">
        <f>+SUMIFS(Ventas2020!$N:$N,Ventas2020!$B:$B,'Tendencia Diaria'!B35)</f>
        <v>0</v>
      </c>
      <c r="E35" s="23"/>
    </row>
    <row r="36" spans="1:5" x14ac:dyDescent="0.25">
      <c r="A36" s="63"/>
      <c r="B36" s="48">
        <v>43864</v>
      </c>
      <c r="C36">
        <f>+SUMIFS(Ventas2020!$I:$I,Ventas2020!$B:$B,'Tendencia Diaria'!B36)</f>
        <v>9550</v>
      </c>
      <c r="D36">
        <f>+SUMIFS(Ventas2020!$N:$N,Ventas2020!$B:$B,'Tendencia Diaria'!B36)</f>
        <v>1223</v>
      </c>
      <c r="E36" s="23">
        <f t="shared" si="1"/>
        <v>0.12806282722513088</v>
      </c>
    </row>
    <row r="37" spans="1:5" x14ac:dyDescent="0.25">
      <c r="A37" s="63"/>
      <c r="B37" s="48">
        <v>43865</v>
      </c>
      <c r="C37">
        <f>+SUMIFS(Ventas2020!$I:$I,Ventas2020!$B:$B,'Tendencia Diaria'!B37)</f>
        <v>33047.013071895424</v>
      </c>
      <c r="D37">
        <f>+SUMIFS(Ventas2020!$N:$N,Ventas2020!$B:$B,'Tendencia Diaria'!B37)</f>
        <v>4839.9246623093686</v>
      </c>
      <c r="E37" s="23">
        <f t="shared" si="1"/>
        <v>0.14645573721836438</v>
      </c>
    </row>
    <row r="38" spans="1:5" x14ac:dyDescent="0.25">
      <c r="A38" s="63"/>
      <c r="B38" s="48">
        <v>43866</v>
      </c>
      <c r="C38">
        <f>+SUMIFS(Ventas2020!$I:$I,Ventas2020!$B:$B,'Tendencia Diaria'!B38)</f>
        <v>37656.199999999997</v>
      </c>
      <c r="D38">
        <f>+SUMIFS(Ventas2020!$N:$N,Ventas2020!$B:$B,'Tendencia Diaria'!B38)</f>
        <v>6127.0693333333329</v>
      </c>
      <c r="E38" s="23">
        <f t="shared" si="1"/>
        <v>0.16271077095759354</v>
      </c>
    </row>
    <row r="39" spans="1:5" x14ac:dyDescent="0.25">
      <c r="A39" s="63"/>
      <c r="B39" s="48">
        <v>43867</v>
      </c>
      <c r="C39">
        <f>+SUMIFS(Ventas2020!$I:$I,Ventas2020!$B:$B,'Tendencia Diaria'!B39)</f>
        <v>5024.3215686274507</v>
      </c>
      <c r="D39">
        <f>+SUMIFS(Ventas2020!$N:$N,Ventas2020!$B:$B,'Tendencia Diaria'!B39)</f>
        <v>1027.5231372549019</v>
      </c>
      <c r="E39" s="23">
        <f t="shared" si="1"/>
        <v>0.20450982749012256</v>
      </c>
    </row>
    <row r="40" spans="1:5" x14ac:dyDescent="0.25">
      <c r="A40" s="63"/>
      <c r="B40" s="48">
        <v>43868</v>
      </c>
      <c r="C40">
        <f>+SUMIFS(Ventas2020!$I:$I,Ventas2020!$B:$B,'Tendencia Diaria'!B40)</f>
        <v>30971.111111111109</v>
      </c>
      <c r="D40">
        <f>+SUMIFS(Ventas2020!$N:$N,Ventas2020!$B:$B,'Tendencia Diaria'!B40)</f>
        <v>5040.5848888888886</v>
      </c>
      <c r="E40" s="23">
        <f t="shared" si="1"/>
        <v>0.16275118031140132</v>
      </c>
    </row>
    <row r="41" spans="1:5" x14ac:dyDescent="0.25">
      <c r="A41" s="63"/>
      <c r="B41" s="48">
        <v>43869</v>
      </c>
      <c r="C41">
        <f>+SUMIFS(Ventas2020!$I:$I,Ventas2020!$B:$B,'Tendencia Diaria'!B41)</f>
        <v>14730.17973856209</v>
      </c>
      <c r="D41">
        <f>+SUMIFS(Ventas2020!$N:$N,Ventas2020!$B:$B,'Tendencia Diaria'!B41)</f>
        <v>2865.0380373093681</v>
      </c>
      <c r="E41" s="23">
        <f t="shared" si="1"/>
        <v>0.19450122728706387</v>
      </c>
    </row>
    <row r="42" spans="1:5" x14ac:dyDescent="0.25">
      <c r="A42" s="63"/>
      <c r="B42" s="48">
        <v>43870</v>
      </c>
      <c r="C42">
        <f>+SUMIFS(Ventas2020!$I:$I,Ventas2020!$B:$B,'Tendencia Diaria'!B42)</f>
        <v>0</v>
      </c>
      <c r="D42">
        <f>+SUMIFS(Ventas2020!$N:$N,Ventas2020!$B:$B,'Tendencia Diaria'!B42)</f>
        <v>0</v>
      </c>
      <c r="E42" s="23"/>
    </row>
    <row r="43" spans="1:5" x14ac:dyDescent="0.25">
      <c r="A43" s="63"/>
      <c r="B43" s="48">
        <v>43871</v>
      </c>
      <c r="C43">
        <f>+SUMIFS(Ventas2020!$I:$I,Ventas2020!$B:$B,'Tendencia Diaria'!B43)</f>
        <v>27937.767320261439</v>
      </c>
      <c r="D43">
        <f>+SUMIFS(Ventas2020!$N:$N,Ventas2020!$B:$B,'Tendencia Diaria'!B43)</f>
        <v>4731.0128627450986</v>
      </c>
      <c r="E43" s="23">
        <f t="shared" si="1"/>
        <v>0.16934112194835282</v>
      </c>
    </row>
    <row r="44" spans="1:5" x14ac:dyDescent="0.25">
      <c r="A44" s="63"/>
      <c r="B44" s="48">
        <v>43872</v>
      </c>
      <c r="C44">
        <f>+SUMIFS(Ventas2020!$I:$I,Ventas2020!$B:$B,'Tendencia Diaria'!B44)</f>
        <v>20133.373202614377</v>
      </c>
      <c r="D44">
        <f>+SUMIFS(Ventas2020!$N:$N,Ventas2020!$B:$B,'Tendencia Diaria'!B44)</f>
        <v>3622.1167755991278</v>
      </c>
      <c r="E44" s="23">
        <f t="shared" si="1"/>
        <v>0.17990610610291499</v>
      </c>
    </row>
    <row r="45" spans="1:5" x14ac:dyDescent="0.25">
      <c r="A45" s="63"/>
      <c r="B45" s="48">
        <v>43873</v>
      </c>
      <c r="C45">
        <f>+SUMIFS(Ventas2020!$I:$I,Ventas2020!$B:$B,'Tendencia Diaria'!B45)</f>
        <v>38846.400000000001</v>
      </c>
      <c r="D45">
        <f>+SUMIFS(Ventas2020!$N:$N,Ventas2020!$B:$B,'Tendencia Diaria'!B45)</f>
        <v>5778.8638888888891</v>
      </c>
      <c r="E45" s="23">
        <f t="shared" si="1"/>
        <v>0.14876189013367747</v>
      </c>
    </row>
    <row r="46" spans="1:5" x14ac:dyDescent="0.25">
      <c r="A46" s="63"/>
      <c r="B46" s="48">
        <v>43874</v>
      </c>
      <c r="C46">
        <f>+SUMIFS(Ventas2020!$I:$I,Ventas2020!$B:$B,'Tendencia Diaria'!B46)</f>
        <v>2876.3444444444444</v>
      </c>
      <c r="D46">
        <f>+SUMIFS(Ventas2020!$N:$N,Ventas2020!$B:$B,'Tendencia Diaria'!B46)</f>
        <v>734.24222222222227</v>
      </c>
      <c r="E46" s="23">
        <f t="shared" si="1"/>
        <v>0.25526922675772878</v>
      </c>
    </row>
    <row r="47" spans="1:5" x14ac:dyDescent="0.25">
      <c r="A47" s="63"/>
      <c r="B47" s="48">
        <v>43875</v>
      </c>
      <c r="C47">
        <f>+SUMIFS(Ventas2020!$I:$I,Ventas2020!$B:$B,'Tendencia Diaria'!B47)</f>
        <v>15305.017647058823</v>
      </c>
      <c r="D47">
        <f>+SUMIFS(Ventas2020!$N:$N,Ventas2020!$B:$B,'Tendencia Diaria'!B47)</f>
        <v>3205.5712941176466</v>
      </c>
      <c r="E47" s="23">
        <f t="shared" si="1"/>
        <v>0.20944577576058293</v>
      </c>
    </row>
    <row r="48" spans="1:5" x14ac:dyDescent="0.25">
      <c r="A48" s="63"/>
      <c r="B48" s="48">
        <v>43876</v>
      </c>
      <c r="C48">
        <f>+SUMIFS(Ventas2020!$I:$I,Ventas2020!$B:$B,'Tendencia Diaria'!B48)</f>
        <v>16275.7</v>
      </c>
      <c r="D48">
        <f>+SUMIFS(Ventas2020!$N:$N,Ventas2020!$B:$B,'Tendencia Diaria'!B48)</f>
        <v>2482.3933333333334</v>
      </c>
      <c r="E48" s="23">
        <f t="shared" si="1"/>
        <v>0.15252144813023916</v>
      </c>
    </row>
    <row r="49" spans="1:5" x14ac:dyDescent="0.25">
      <c r="A49" s="63"/>
      <c r="B49" s="48">
        <v>43877</v>
      </c>
      <c r="C49">
        <f>+SUMIFS(Ventas2020!$I:$I,Ventas2020!$B:$B,'Tendencia Diaria'!B49)</f>
        <v>0</v>
      </c>
      <c r="D49">
        <f>+SUMIFS(Ventas2020!$N:$N,Ventas2020!$B:$B,'Tendencia Diaria'!B49)</f>
        <v>0</v>
      </c>
      <c r="E49" s="23"/>
    </row>
    <row r="50" spans="1:5" x14ac:dyDescent="0.25">
      <c r="A50" s="63"/>
      <c r="B50" s="48">
        <v>43878</v>
      </c>
      <c r="C50">
        <f>+SUMIFS(Ventas2020!$I:$I,Ventas2020!$B:$B,'Tendencia Diaria'!B50)</f>
        <v>56496.9</v>
      </c>
      <c r="D50">
        <f>+SUMIFS(Ventas2020!$N:$N,Ventas2020!$B:$B,'Tendencia Diaria'!B50)</f>
        <v>7521.4413333333323</v>
      </c>
      <c r="E50" s="23">
        <f t="shared" si="1"/>
        <v>0.13313015994387892</v>
      </c>
    </row>
    <row r="51" spans="1:5" x14ac:dyDescent="0.25">
      <c r="A51" s="63"/>
      <c r="B51" s="48">
        <v>43879</v>
      </c>
      <c r="C51">
        <f>+SUMIFS(Ventas2020!$I:$I,Ventas2020!$B:$B,'Tendencia Diaria'!B51)</f>
        <v>13532.222222222223</v>
      </c>
      <c r="D51">
        <f>+SUMIFS(Ventas2020!$N:$N,Ventas2020!$B:$B,'Tendencia Diaria'!B51)</f>
        <v>2320.4444444444443</v>
      </c>
      <c r="E51" s="23">
        <f t="shared" si="1"/>
        <v>0.17147549059857131</v>
      </c>
    </row>
    <row r="52" spans="1:5" x14ac:dyDescent="0.25">
      <c r="A52" s="63"/>
      <c r="B52" s="48">
        <v>43880</v>
      </c>
      <c r="C52">
        <f>+SUMIFS(Ventas2020!$I:$I,Ventas2020!$B:$B,'Tendencia Diaria'!B52)</f>
        <v>21881.415686274511</v>
      </c>
      <c r="D52">
        <f>+SUMIFS(Ventas2020!$N:$N,Ventas2020!$B:$B,'Tendencia Diaria'!B52)</f>
        <v>3717.2321568627449</v>
      </c>
      <c r="E52" s="23">
        <f t="shared" si="1"/>
        <v>0.16988078880081062</v>
      </c>
    </row>
    <row r="53" spans="1:5" x14ac:dyDescent="0.25">
      <c r="A53" s="63"/>
      <c r="B53" s="48">
        <v>43881</v>
      </c>
      <c r="C53">
        <f>+SUMIFS(Ventas2020!$I:$I,Ventas2020!$B:$B,'Tendencia Diaria'!B53)</f>
        <v>30100.294117647059</v>
      </c>
      <c r="D53">
        <f>+SUMIFS(Ventas2020!$N:$N,Ventas2020!$B:$B,'Tendencia Diaria'!B53)</f>
        <v>3973.6862745098042</v>
      </c>
      <c r="E53" s="23">
        <f t="shared" si="1"/>
        <v>0.13201486533582174</v>
      </c>
    </row>
    <row r="54" spans="1:5" x14ac:dyDescent="0.25">
      <c r="A54" s="63"/>
      <c r="B54" s="48">
        <v>43882</v>
      </c>
      <c r="C54">
        <f>+SUMIFS(Ventas2020!$I:$I,Ventas2020!$B:$B,'Tendencia Diaria'!B54)</f>
        <v>9685.9058823529413</v>
      </c>
      <c r="D54">
        <f>+SUMIFS(Ventas2020!$N:$N,Ventas2020!$B:$B,'Tendencia Diaria'!B54)</f>
        <v>2162.1181699346407</v>
      </c>
      <c r="E54" s="23">
        <f t="shared" si="1"/>
        <v>0.22322312401092728</v>
      </c>
    </row>
    <row r="55" spans="1:5" x14ac:dyDescent="0.25">
      <c r="A55" s="63"/>
      <c r="B55" s="48">
        <v>43883</v>
      </c>
      <c r="C55">
        <f>+SUMIFS(Ventas2020!$I:$I,Ventas2020!$B:$B,'Tendencia Diaria'!B55)</f>
        <v>55376.264219815486</v>
      </c>
      <c r="D55">
        <f>+SUMIFS(Ventas2020!$N:$N,Ventas2020!$B:$B,'Tendencia Diaria'!B55)</f>
        <v>9794.0161291616532</v>
      </c>
      <c r="E55" s="23">
        <f t="shared" si="1"/>
        <v>0.17686307061603887</v>
      </c>
    </row>
    <row r="56" spans="1:5" x14ac:dyDescent="0.25">
      <c r="A56" s="63"/>
      <c r="B56" s="48">
        <v>43884</v>
      </c>
      <c r="C56">
        <f>+SUMIFS(Ventas2020!$I:$I,Ventas2020!$B:$B,'Tendencia Diaria'!B56)</f>
        <v>0</v>
      </c>
      <c r="D56">
        <f>+SUMIFS(Ventas2020!$N:$N,Ventas2020!$B:$B,'Tendencia Diaria'!B56)</f>
        <v>0</v>
      </c>
      <c r="E56" s="23"/>
    </row>
    <row r="57" spans="1:5" x14ac:dyDescent="0.25">
      <c r="A57" s="63"/>
      <c r="B57" s="48">
        <v>43885</v>
      </c>
      <c r="C57">
        <f>+SUMIFS(Ventas2020!$I:$I,Ventas2020!$B:$B,'Tendencia Diaria'!B57)</f>
        <v>13093.64</v>
      </c>
      <c r="D57">
        <f>+SUMIFS(Ventas2020!$N:$N,Ventas2020!$B:$B,'Tendencia Diaria'!B57)</f>
        <v>2307.1939999999995</v>
      </c>
      <c r="E57" s="23">
        <f t="shared" si="1"/>
        <v>0.17620722732563288</v>
      </c>
    </row>
    <row r="58" spans="1:5" x14ac:dyDescent="0.25">
      <c r="A58" s="63"/>
      <c r="B58" s="48">
        <v>43886</v>
      </c>
      <c r="C58">
        <f>+SUMIFS(Ventas2020!$I:$I,Ventas2020!$B:$B,'Tendencia Diaria'!B58)</f>
        <v>26258.444444444442</v>
      </c>
      <c r="D58">
        <f>+SUMIFS(Ventas2020!$N:$N,Ventas2020!$B:$B,'Tendencia Diaria'!B58)</f>
        <v>4807.2515555555556</v>
      </c>
      <c r="E58" s="23">
        <f t="shared" si="1"/>
        <v>0.18307449878557588</v>
      </c>
    </row>
    <row r="59" spans="1:5" x14ac:dyDescent="0.25">
      <c r="A59" s="63"/>
      <c r="B59" s="48">
        <v>43887</v>
      </c>
      <c r="C59">
        <f>+SUMIFS(Ventas2020!$I:$I,Ventas2020!$B:$B,'Tendencia Diaria'!B59)</f>
        <v>55615.05</v>
      </c>
      <c r="D59">
        <f>+SUMIFS(Ventas2020!$N:$N,Ventas2020!$B:$B,'Tendencia Diaria'!B59)</f>
        <v>6062.8950000000004</v>
      </c>
      <c r="E59" s="23">
        <f t="shared" si="1"/>
        <v>0.1090153654451448</v>
      </c>
    </row>
    <row r="60" spans="1:5" x14ac:dyDescent="0.25">
      <c r="A60" s="63"/>
      <c r="B60" s="48">
        <v>43888</v>
      </c>
      <c r="C60">
        <f>+SUMIFS(Ventas2020!$I:$I,Ventas2020!$B:$B,'Tendencia Diaria'!B60)</f>
        <v>39929.616666666669</v>
      </c>
      <c r="D60">
        <f>+SUMIFS(Ventas2020!$N:$N,Ventas2020!$B:$B,'Tendencia Diaria'!B60)</f>
        <v>4627.9411111111112</v>
      </c>
      <c r="E60" s="23">
        <f t="shared" si="1"/>
        <v>0.11590246782846093</v>
      </c>
    </row>
    <row r="61" spans="1:5" x14ac:dyDescent="0.25">
      <c r="A61" s="63"/>
      <c r="B61" s="48">
        <v>43889</v>
      </c>
      <c r="C61">
        <f>+SUMIFS(Ventas2020!$I:$I,Ventas2020!$B:$B,'Tendencia Diaria'!B61)</f>
        <v>6365.5555555555557</v>
      </c>
      <c r="D61">
        <f>+SUMIFS(Ventas2020!$N:$N,Ventas2020!$B:$B,'Tendencia Diaria'!B61)</f>
        <v>829.91666666666663</v>
      </c>
      <c r="E61" s="23">
        <f t="shared" si="1"/>
        <v>0.13037615639727701</v>
      </c>
    </row>
    <row r="62" spans="1:5" ht="15.75" thickBot="1" x14ac:dyDescent="0.3">
      <c r="A62" s="63"/>
      <c r="B62" s="48">
        <v>43890</v>
      </c>
      <c r="C62">
        <f>+SUMIFS(Ventas2020!$I:$I,Ventas2020!$B:$B,'Tendencia Diaria'!B62)</f>
        <v>12632.733333333332</v>
      </c>
      <c r="D62">
        <f>+SUMIFS(Ventas2020!$N:$N,Ventas2020!$B:$B,'Tendencia Diaria'!B62)</f>
        <v>2133.5922222222225</v>
      </c>
      <c r="E62" s="23">
        <f t="shared" si="1"/>
        <v>0.16889394922889922</v>
      </c>
    </row>
    <row r="63" spans="1:5" ht="16.5" thickTop="1" thickBot="1" x14ac:dyDescent="0.3">
      <c r="A63" s="61" t="s">
        <v>5</v>
      </c>
      <c r="B63" s="61"/>
      <c r="C63" s="36">
        <f>SUM(C34:C62)</f>
        <v>623135.87023288745</v>
      </c>
      <c r="D63" s="36">
        <f>SUM(D34:D62)</f>
        <v>96014.141499804391</v>
      </c>
      <c r="E63" s="37">
        <f t="shared" ref="E63" si="2">+D63/C63</f>
        <v>0.15408219312414254</v>
      </c>
    </row>
    <row r="64" spans="1:5" ht="15.75" thickTop="1" x14ac:dyDescent="0.25">
      <c r="A64" s="65" t="s">
        <v>276</v>
      </c>
      <c r="B64" s="48">
        <v>43891</v>
      </c>
      <c r="C64">
        <f>+SUMIFS(Ventas2020!$I:$I,Ventas2020!$B:$B,'Tendencia Diaria'!B64)</f>
        <v>0</v>
      </c>
      <c r="D64">
        <f>+SUMIFS(Ventas2020!$N:$N,Ventas2020!$B:$B,'Tendencia Diaria'!B64)</f>
        <v>0</v>
      </c>
      <c r="E64" s="23"/>
    </row>
    <row r="65" spans="1:5" x14ac:dyDescent="0.25">
      <c r="A65" s="63"/>
      <c r="B65" s="48">
        <v>43892</v>
      </c>
      <c r="C65">
        <f>+SUMIFS(Ventas2020!$I:$I,Ventas2020!$B:$B,'Tendencia Diaria'!B65)</f>
        <v>30355.64</v>
      </c>
      <c r="D65">
        <f>+SUMIFS(Ventas2020!$N:$N,Ventas2020!$B:$B,'Tendencia Diaria'!B65)</f>
        <v>4228.7066666666669</v>
      </c>
      <c r="E65" s="23">
        <f t="shared" si="1"/>
        <v>0.13930546898917853</v>
      </c>
    </row>
    <row r="66" spans="1:5" x14ac:dyDescent="0.25">
      <c r="A66" s="63"/>
      <c r="B66" s="48">
        <v>43893</v>
      </c>
      <c r="C66">
        <f>+SUMIFS(Ventas2020!$I:$I,Ventas2020!$B:$B,'Tendencia Diaria'!B66)</f>
        <v>21108.347725894484</v>
      </c>
      <c r="D66">
        <f>+SUMIFS(Ventas2020!$N:$N,Ventas2020!$B:$B,'Tendencia Diaria'!B66)</f>
        <v>2798.5574085304224</v>
      </c>
      <c r="E66" s="23">
        <f t="shared" si="1"/>
        <v>0.13258060009582448</v>
      </c>
    </row>
    <row r="67" spans="1:5" x14ac:dyDescent="0.25">
      <c r="A67" s="63"/>
      <c r="B67" s="48">
        <v>43894</v>
      </c>
      <c r="C67">
        <f>+SUMIFS(Ventas2020!$I:$I,Ventas2020!$B:$B,'Tendencia Diaria'!B67)</f>
        <v>23535.410240963854</v>
      </c>
      <c r="D67">
        <f>+SUMIFS(Ventas2020!$N:$N,Ventas2020!$B:$B,'Tendencia Diaria'!B67)</f>
        <v>3736.7399196787146</v>
      </c>
      <c r="E67" s="23">
        <f t="shared" si="1"/>
        <v>0.15877097027078133</v>
      </c>
    </row>
    <row r="68" spans="1:5" x14ac:dyDescent="0.25">
      <c r="A68" s="63"/>
      <c r="B68" s="48">
        <v>43895</v>
      </c>
      <c r="C68">
        <f>+SUMIFS(Ventas2020!$I:$I,Ventas2020!$B:$B,'Tendencia Diaria'!B68)</f>
        <v>16069.13605442177</v>
      </c>
      <c r="D68">
        <f>+SUMIFS(Ventas2020!$N:$N,Ventas2020!$B:$B,'Tendencia Diaria'!B68)</f>
        <v>2272.8911111111111</v>
      </c>
      <c r="E68" s="23">
        <f t="shared" si="1"/>
        <v>0.14144451222601206</v>
      </c>
    </row>
    <row r="69" spans="1:5" x14ac:dyDescent="0.25">
      <c r="A69" s="63"/>
      <c r="B69" s="48">
        <v>43896</v>
      </c>
      <c r="C69">
        <f>+SUMIFS(Ventas2020!$I:$I,Ventas2020!$B:$B,'Tendencia Diaria'!B69)</f>
        <v>18736.088888888888</v>
      </c>
      <c r="D69">
        <f>+SUMIFS(Ventas2020!$N:$N,Ventas2020!$B:$B,'Tendencia Diaria'!B69)</f>
        <v>2723.5977777777775</v>
      </c>
      <c r="E69" s="23">
        <f t="shared" si="1"/>
        <v>0.14536639924850911</v>
      </c>
    </row>
    <row r="70" spans="1:5" x14ac:dyDescent="0.25">
      <c r="A70" s="63"/>
      <c r="B70" s="48">
        <v>43897</v>
      </c>
      <c r="C70">
        <f>+SUMIFS(Ventas2020!$I:$I,Ventas2020!$B:$B,'Tendencia Diaria'!B70)</f>
        <v>13594</v>
      </c>
      <c r="D70">
        <f>+SUMIFS(Ventas2020!$N:$N,Ventas2020!$B:$B,'Tendencia Diaria'!B70)</f>
        <v>2128.8626666666669</v>
      </c>
      <c r="E70" s="23">
        <f t="shared" si="1"/>
        <v>0.15660310921484971</v>
      </c>
    </row>
    <row r="71" spans="1:5" x14ac:dyDescent="0.25">
      <c r="A71" s="63"/>
      <c r="B71" s="48">
        <v>43898</v>
      </c>
      <c r="C71">
        <f>+SUMIFS(Ventas2020!$I:$I,Ventas2020!$B:$B,'Tendencia Diaria'!B71)</f>
        <v>0</v>
      </c>
      <c r="D71">
        <f>+SUMIFS(Ventas2020!$N:$N,Ventas2020!$B:$B,'Tendencia Diaria'!B71)</f>
        <v>0</v>
      </c>
      <c r="E71" s="23"/>
    </row>
    <row r="72" spans="1:5" x14ac:dyDescent="0.25">
      <c r="A72" s="63"/>
      <c r="B72" s="48">
        <v>43899</v>
      </c>
      <c r="C72">
        <f>+SUMIFS(Ventas2020!$I:$I,Ventas2020!$B:$B,'Tendencia Diaria'!B72)</f>
        <v>61225.055555555562</v>
      </c>
      <c r="D72">
        <f>+SUMIFS(Ventas2020!$N:$N,Ventas2020!$B:$B,'Tendencia Diaria'!B72)</f>
        <v>6212.7623703703684</v>
      </c>
      <c r="E72" s="23">
        <f t="shared" si="1"/>
        <v>0.10147418101945066</v>
      </c>
    </row>
    <row r="73" spans="1:5" x14ac:dyDescent="0.25">
      <c r="A73" s="63"/>
      <c r="B73" s="48">
        <v>43900</v>
      </c>
      <c r="C73">
        <f>+SUMIFS(Ventas2020!$I:$I,Ventas2020!$B:$B,'Tendencia Diaria'!B73)</f>
        <v>30120</v>
      </c>
      <c r="D73">
        <f>+SUMIFS(Ventas2020!$N:$N,Ventas2020!$B:$B,'Tendencia Diaria'!B73)</f>
        <v>4932.6666666666661</v>
      </c>
      <c r="E73" s="23">
        <f t="shared" si="1"/>
        <v>0.16376715360779104</v>
      </c>
    </row>
    <row r="74" spans="1:5" x14ac:dyDescent="0.25">
      <c r="A74" s="63"/>
      <c r="B74" s="48">
        <v>43901</v>
      </c>
      <c r="C74">
        <f>+SUMIFS(Ventas2020!$I:$I,Ventas2020!$B:$B,'Tendencia Diaria'!B74)</f>
        <v>2580</v>
      </c>
      <c r="D74">
        <f>+SUMIFS(Ventas2020!$N:$N,Ventas2020!$B:$B,'Tendencia Diaria'!B74)</f>
        <v>689.33333333333337</v>
      </c>
      <c r="E74" s="23">
        <f t="shared" si="1"/>
        <v>0.26718346253229974</v>
      </c>
    </row>
    <row r="75" spans="1:5" x14ac:dyDescent="0.25">
      <c r="A75" s="63"/>
      <c r="B75" s="48">
        <v>43902</v>
      </c>
      <c r="C75">
        <f>+SUMIFS(Ventas2020!$I:$I,Ventas2020!$B:$B,'Tendencia Diaria'!B75)</f>
        <v>28681.097058823532</v>
      </c>
      <c r="D75">
        <f>+SUMIFS(Ventas2020!$N:$N,Ventas2020!$B:$B,'Tendencia Diaria'!B75)</f>
        <v>4656.2156862745105</v>
      </c>
      <c r="E75" s="23">
        <f t="shared" si="1"/>
        <v>0.16234440672631312</v>
      </c>
    </row>
    <row r="76" spans="1:5" x14ac:dyDescent="0.25">
      <c r="A76" s="63"/>
      <c r="B76" s="48">
        <v>43903</v>
      </c>
      <c r="C76">
        <f>+SUMIFS(Ventas2020!$I:$I,Ventas2020!$B:$B,'Tendencia Diaria'!B76)</f>
        <v>13063.5</v>
      </c>
      <c r="D76">
        <f>+SUMIFS(Ventas2020!$N:$N,Ventas2020!$B:$B,'Tendencia Diaria'!B76)</f>
        <v>2468.8333333333335</v>
      </c>
      <c r="E76" s="23">
        <f t="shared" si="1"/>
        <v>0.18898712698230441</v>
      </c>
    </row>
    <row r="77" spans="1:5" x14ac:dyDescent="0.25">
      <c r="A77" s="63"/>
      <c r="B77" s="48">
        <v>43904</v>
      </c>
      <c r="C77">
        <f>+SUMIFS(Ventas2020!$I:$I,Ventas2020!$B:$B,'Tendencia Diaria'!B77)</f>
        <v>35341.911111111105</v>
      </c>
      <c r="D77">
        <f>+SUMIFS(Ventas2020!$N:$N,Ventas2020!$B:$B,'Tendencia Diaria'!B77)</f>
        <v>5218.4655555555546</v>
      </c>
      <c r="E77" s="23">
        <f t="shared" si="1"/>
        <v>0.14765657519621023</v>
      </c>
    </row>
    <row r="78" spans="1:5" x14ac:dyDescent="0.25">
      <c r="A78" s="63"/>
      <c r="B78" s="48">
        <v>43905</v>
      </c>
      <c r="C78">
        <f>+SUMIFS(Ventas2020!$I:$I,Ventas2020!$B:$B,'Tendencia Diaria'!B78)</f>
        <v>0</v>
      </c>
      <c r="D78">
        <f>+SUMIFS(Ventas2020!$N:$N,Ventas2020!$B:$B,'Tendencia Diaria'!B78)</f>
        <v>0</v>
      </c>
      <c r="E78" s="23"/>
    </row>
    <row r="79" spans="1:5" x14ac:dyDescent="0.25">
      <c r="A79" s="63"/>
      <c r="B79" s="48">
        <v>43906</v>
      </c>
      <c r="C79">
        <f>+SUMIFS(Ventas2020!$I:$I,Ventas2020!$B:$B,'Tendencia Diaria'!B79)</f>
        <v>18870.486666666668</v>
      </c>
      <c r="D79">
        <f>+SUMIFS(Ventas2020!$N:$N,Ventas2020!$B:$B,'Tendencia Diaria'!B79)</f>
        <v>2902.0210000000002</v>
      </c>
      <c r="E79" s="23">
        <f t="shared" si="1"/>
        <v>0.15378622985522719</v>
      </c>
    </row>
    <row r="80" spans="1:5" x14ac:dyDescent="0.25">
      <c r="A80" s="63"/>
      <c r="B80" s="48">
        <v>43907</v>
      </c>
      <c r="C80">
        <f>+SUMIFS(Ventas2020!$I:$I,Ventas2020!$B:$B,'Tendencia Diaria'!B80)</f>
        <v>17276.666666666664</v>
      </c>
      <c r="D80">
        <f>+SUMIFS(Ventas2020!$N:$N,Ventas2020!$B:$B,'Tendencia Diaria'!B80)</f>
        <v>2780.666666666667</v>
      </c>
      <c r="E80" s="23">
        <f t="shared" si="1"/>
        <v>0.16094925718695741</v>
      </c>
    </row>
    <row r="81" spans="1:5" x14ac:dyDescent="0.25">
      <c r="A81" s="63"/>
      <c r="B81" s="48">
        <v>43908</v>
      </c>
      <c r="C81">
        <f>+SUMIFS(Ventas2020!$I:$I,Ventas2020!$B:$B,'Tendencia Diaria'!B81)</f>
        <v>37650.176470588238</v>
      </c>
      <c r="D81">
        <f>+SUMIFS(Ventas2020!$N:$N,Ventas2020!$B:$B,'Tendencia Diaria'!B81)</f>
        <v>6409.1450980392146</v>
      </c>
      <c r="E81" s="23">
        <f t="shared" si="1"/>
        <v>0.17022881959254413</v>
      </c>
    </row>
    <row r="82" spans="1:5" x14ac:dyDescent="0.25">
      <c r="A82" s="63"/>
      <c r="B82" s="48">
        <v>43909</v>
      </c>
      <c r="C82">
        <f>+SUMIFS(Ventas2020!$I:$I,Ventas2020!$B:$B,'Tendencia Diaria'!B82)</f>
        <v>19890.555555555555</v>
      </c>
      <c r="D82">
        <f>+SUMIFS(Ventas2020!$N:$N,Ventas2020!$B:$B,'Tendencia Diaria'!B82)</f>
        <v>3221.1666666666665</v>
      </c>
      <c r="E82" s="23">
        <f t="shared" si="1"/>
        <v>0.16194452978800658</v>
      </c>
    </row>
    <row r="83" spans="1:5" x14ac:dyDescent="0.25">
      <c r="A83" s="63"/>
      <c r="B83" s="48">
        <v>43910</v>
      </c>
      <c r="C83">
        <f>+SUMIFS(Ventas2020!$I:$I,Ventas2020!$B:$B,'Tendencia Diaria'!B83)</f>
        <v>25197.701960784314</v>
      </c>
      <c r="D83">
        <f>+SUMIFS(Ventas2020!$N:$N,Ventas2020!$B:$B,'Tendencia Diaria'!B83)</f>
        <v>3342.4662091503264</v>
      </c>
      <c r="E83" s="23">
        <f t="shared" si="1"/>
        <v>0.13264964457283737</v>
      </c>
    </row>
    <row r="84" spans="1:5" x14ac:dyDescent="0.25">
      <c r="A84" s="63"/>
      <c r="B84" s="48">
        <v>43911</v>
      </c>
      <c r="C84">
        <f>+SUMIFS(Ventas2020!$I:$I,Ventas2020!$B:$B,'Tendencia Diaria'!B84)</f>
        <v>1122.1444444444446</v>
      </c>
      <c r="D84">
        <f>+SUMIFS(Ventas2020!$N:$N,Ventas2020!$B:$B,'Tendencia Diaria'!B84)</f>
        <v>183.7430065359477</v>
      </c>
      <c r="E84" s="23">
        <f t="shared" si="1"/>
        <v>0.16374274046949086</v>
      </c>
    </row>
    <row r="85" spans="1:5" x14ac:dyDescent="0.25">
      <c r="A85" s="63"/>
      <c r="B85" s="48">
        <v>43912</v>
      </c>
      <c r="C85">
        <f>+SUMIFS(Ventas2020!$I:$I,Ventas2020!$B:$B,'Tendencia Diaria'!B85)</f>
        <v>0</v>
      </c>
      <c r="D85">
        <f>+SUMIFS(Ventas2020!$N:$N,Ventas2020!$B:$B,'Tendencia Diaria'!B85)</f>
        <v>0</v>
      </c>
      <c r="E85" s="23"/>
    </row>
    <row r="86" spans="1:5" x14ac:dyDescent="0.25">
      <c r="A86" s="63"/>
      <c r="B86" s="48">
        <v>43913</v>
      </c>
      <c r="C86">
        <f>+SUMIFS(Ventas2020!$I:$I,Ventas2020!$B:$B,'Tendencia Diaria'!B86)</f>
        <v>13936.666666666668</v>
      </c>
      <c r="D86">
        <f>+SUMIFS(Ventas2020!$N:$N,Ventas2020!$B:$B,'Tendencia Diaria'!B86)</f>
        <v>1540.2777777777778</v>
      </c>
      <c r="E86" s="23">
        <f t="shared" si="1"/>
        <v>0.11051981184724546</v>
      </c>
    </row>
    <row r="87" spans="1:5" x14ac:dyDescent="0.25">
      <c r="A87" s="63"/>
      <c r="B87" s="48">
        <v>43914</v>
      </c>
      <c r="C87">
        <f>+SUMIFS(Ventas2020!$I:$I,Ventas2020!$B:$B,'Tendencia Diaria'!B87)</f>
        <v>35135.25</v>
      </c>
      <c r="D87">
        <f>+SUMIFS(Ventas2020!$N:$N,Ventas2020!$B:$B,'Tendencia Diaria'!B87)</f>
        <v>4759.9883333333328</v>
      </c>
      <c r="E87" s="23">
        <f t="shared" si="1"/>
        <v>0.13547614812284908</v>
      </c>
    </row>
    <row r="88" spans="1:5" x14ac:dyDescent="0.25">
      <c r="A88" s="63"/>
      <c r="B88" s="48">
        <v>43915</v>
      </c>
      <c r="C88">
        <f>+SUMIFS(Ventas2020!$I:$I,Ventas2020!$B:$B,'Tendencia Diaria'!B88)</f>
        <v>5718.4444444444443</v>
      </c>
      <c r="D88">
        <f>+SUMIFS(Ventas2020!$N:$N,Ventas2020!$B:$B,'Tendencia Diaria'!B88)</f>
        <v>1000.2581481481482</v>
      </c>
      <c r="E88" s="23">
        <f t="shared" si="1"/>
        <v>0.17491787458386768</v>
      </c>
    </row>
    <row r="89" spans="1:5" x14ac:dyDescent="0.25">
      <c r="A89" s="63"/>
      <c r="B89" s="48">
        <v>43916</v>
      </c>
      <c r="C89">
        <f>+SUMIFS(Ventas2020!$I:$I,Ventas2020!$B:$B,'Tendencia Diaria'!B89)</f>
        <v>20737</v>
      </c>
      <c r="D89">
        <f>+SUMIFS(Ventas2020!$N:$N,Ventas2020!$B:$B,'Tendencia Diaria'!B89)</f>
        <v>4394.1626666666662</v>
      </c>
      <c r="E89" s="23">
        <f t="shared" si="1"/>
        <v>0.21189963189789585</v>
      </c>
    </row>
    <row r="90" spans="1:5" x14ac:dyDescent="0.25">
      <c r="A90" s="63"/>
      <c r="B90" s="48">
        <v>43917</v>
      </c>
      <c r="C90">
        <f>+SUMIFS(Ventas2020!$I:$I,Ventas2020!$B:$B,'Tendencia Diaria'!B90)</f>
        <v>6854.1333333333332</v>
      </c>
      <c r="D90">
        <f>+SUMIFS(Ventas2020!$N:$N,Ventas2020!$B:$B,'Tendencia Diaria'!B90)</f>
        <v>1672.0411111111111</v>
      </c>
      <c r="E90" s="23">
        <f t="shared" si="1"/>
        <v>0.24394639406554358</v>
      </c>
    </row>
    <row r="91" spans="1:5" x14ac:dyDescent="0.25">
      <c r="A91" s="63"/>
      <c r="B91" s="48">
        <v>43918</v>
      </c>
      <c r="C91">
        <f>+SUMIFS(Ventas2020!$I:$I,Ventas2020!$B:$B,'Tendencia Diaria'!B91)</f>
        <v>9628.4</v>
      </c>
      <c r="D91">
        <f>+SUMIFS(Ventas2020!$N:$N,Ventas2020!$B:$B,'Tendencia Diaria'!B91)</f>
        <v>2434.2022222222222</v>
      </c>
      <c r="E91" s="23">
        <f t="shared" si="1"/>
        <v>0.25281482096944685</v>
      </c>
    </row>
    <row r="92" spans="1:5" x14ac:dyDescent="0.25">
      <c r="A92" s="63"/>
      <c r="B92" s="48">
        <v>43919</v>
      </c>
      <c r="C92">
        <f>+SUMIFS(Ventas2020!$I:$I,Ventas2020!$B:$B,'Tendencia Diaria'!B92)</f>
        <v>0</v>
      </c>
      <c r="D92">
        <f>+SUMIFS(Ventas2020!$N:$N,Ventas2020!$B:$B,'Tendencia Diaria'!B92)</f>
        <v>0</v>
      </c>
      <c r="E92" s="23"/>
    </row>
    <row r="93" spans="1:5" x14ac:dyDescent="0.25">
      <c r="A93" s="63"/>
      <c r="B93" s="48">
        <v>43920</v>
      </c>
      <c r="C93">
        <f>+SUMIFS(Ventas2020!$I:$I,Ventas2020!$B:$B,'Tendencia Diaria'!B93)</f>
        <v>7020</v>
      </c>
      <c r="D93">
        <f>+SUMIFS(Ventas2020!$N:$N,Ventas2020!$B:$B,'Tendencia Diaria'!B93)</f>
        <v>1440</v>
      </c>
      <c r="E93" s="23">
        <f t="shared" si="1"/>
        <v>0.20512820512820512</v>
      </c>
    </row>
    <row r="94" spans="1:5" ht="15.75" thickBot="1" x14ac:dyDescent="0.3">
      <c r="A94" s="64"/>
      <c r="B94" s="48">
        <v>43921</v>
      </c>
      <c r="C94">
        <f>+SUMIFS(Ventas2020!$I:$I,Ventas2020!$B:$B,'Tendencia Diaria'!B94)</f>
        <v>11943</v>
      </c>
      <c r="D94">
        <f>+SUMIFS(Ventas2020!$N:$N,Ventas2020!$B:$B,'Tendencia Diaria'!B94)</f>
        <v>2583</v>
      </c>
      <c r="E94" s="23">
        <f t="shared" si="1"/>
        <v>0.21627731725697061</v>
      </c>
    </row>
    <row r="95" spans="1:5" ht="16.5" thickTop="1" thickBot="1" x14ac:dyDescent="0.3">
      <c r="A95" s="61" t="s">
        <v>5</v>
      </c>
      <c r="B95" s="61"/>
      <c r="C95" s="36">
        <f>SUM(C64:C94)</f>
        <v>525390.81284480961</v>
      </c>
      <c r="D95" s="36">
        <f>SUM(D64:D94)</f>
        <v>80730.771402283222</v>
      </c>
      <c r="E95" s="37">
        <f t="shared" ref="E95" si="3">+D95/C95</f>
        <v>0.15365851367890124</v>
      </c>
    </row>
    <row r="96" spans="1:5" ht="15.75" thickTop="1" x14ac:dyDescent="0.25">
      <c r="A96" s="63" t="s">
        <v>319</v>
      </c>
      <c r="B96" s="48">
        <v>43922</v>
      </c>
      <c r="C96">
        <f>+SUMIFS(Ventas2020!$I:$I,Ventas2020!$B:$B,'Tendencia Diaria'!B96)</f>
        <v>18780.176470588234</v>
      </c>
      <c r="D96">
        <f>+SUMIFS(Ventas2020!$N:$N,Ventas2020!$B:$B,'Tendencia Diaria'!B96)</f>
        <v>2965.4410980392158</v>
      </c>
      <c r="E96" s="23">
        <f t="shared" ref="E96:E101" si="4">+D96/C96</f>
        <v>0.15790272805388245</v>
      </c>
    </row>
    <row r="97" spans="1:5" x14ac:dyDescent="0.25">
      <c r="A97" s="63"/>
      <c r="B97" s="48">
        <v>43923</v>
      </c>
      <c r="C97">
        <f>+SUMIFS(Ventas2020!$I:$I,Ventas2020!$B:$B,'Tendencia Diaria'!B97)</f>
        <v>10585.666666666668</v>
      </c>
      <c r="D97">
        <f>+SUMIFS(Ventas2020!$N:$N,Ventas2020!$B:$B,'Tendencia Diaria'!B97)</f>
        <v>1856.6094444444445</v>
      </c>
      <c r="E97" s="23">
        <f t="shared" si="4"/>
        <v>0.17538899560201948</v>
      </c>
    </row>
    <row r="98" spans="1:5" x14ac:dyDescent="0.25">
      <c r="A98" s="63"/>
      <c r="B98" s="48">
        <v>43924</v>
      </c>
      <c r="C98">
        <f>+SUMIFS(Ventas2020!$I:$I,Ventas2020!$B:$B,'Tendencia Diaria'!B98)</f>
        <v>36325.73529411765</v>
      </c>
      <c r="D98">
        <f>+SUMIFS(Ventas2020!$N:$N,Ventas2020!$B:$B,'Tendencia Diaria'!B98)</f>
        <v>3976.6115196078435</v>
      </c>
      <c r="E98" s="23">
        <f t="shared" si="4"/>
        <v>0.10947091607122375</v>
      </c>
    </row>
    <row r="99" spans="1:5" x14ac:dyDescent="0.25">
      <c r="A99" s="63"/>
      <c r="B99" s="48">
        <v>43925</v>
      </c>
      <c r="C99">
        <f>+SUMIFS(Ventas2020!$I:$I,Ventas2020!$B:$B,'Tendencia Diaria'!B99)</f>
        <v>6796</v>
      </c>
      <c r="D99">
        <f>+SUMIFS(Ventas2020!$N:$N,Ventas2020!$B:$B,'Tendencia Diaria'!B99)</f>
        <v>1503.45</v>
      </c>
      <c r="E99" s="23">
        <f t="shared" si="4"/>
        <v>0.22122572101236021</v>
      </c>
    </row>
    <row r="100" spans="1:5" x14ac:dyDescent="0.25">
      <c r="A100" s="63"/>
      <c r="B100" s="48">
        <v>43926</v>
      </c>
      <c r="C100">
        <f>+SUMIFS(Ventas2020!$I:$I,Ventas2020!$B:$B,'Tendencia Diaria'!B100)</f>
        <v>0</v>
      </c>
      <c r="D100">
        <f>+SUMIFS(Ventas2020!$N:$N,Ventas2020!$B:$B,'Tendencia Diaria'!B100)</f>
        <v>0</v>
      </c>
      <c r="E100" s="23"/>
    </row>
    <row r="101" spans="1:5" x14ac:dyDescent="0.25">
      <c r="A101" s="63"/>
      <c r="B101" s="48">
        <v>43927</v>
      </c>
      <c r="C101">
        <f>+SUMIFS(Ventas2020!$I:$I,Ventas2020!$B:$B,'Tendencia Diaria'!B101)</f>
        <v>9254.8333333333321</v>
      </c>
      <c r="D101">
        <f>+SUMIFS(Ventas2020!$N:$N,Ventas2020!$B:$B,'Tendencia Diaria'!B101)</f>
        <v>1609.6374999999998</v>
      </c>
      <c r="E101" s="23">
        <f t="shared" si="4"/>
        <v>0.17392398566514794</v>
      </c>
    </row>
    <row r="102" spans="1:5" x14ac:dyDescent="0.25">
      <c r="A102" s="63"/>
      <c r="B102" s="48">
        <v>43928</v>
      </c>
      <c r="C102">
        <f>+SUMIFS(Ventas2020!$I:$I,Ventas2020!$B:$B,'Tendencia Diaria'!B102)</f>
        <v>10140</v>
      </c>
      <c r="D102">
        <f>+SUMIFS(Ventas2020!$N:$N,Ventas2020!$B:$B,'Tendencia Diaria'!B102)</f>
        <v>1832.6666666666667</v>
      </c>
      <c r="E102" s="23"/>
    </row>
    <row r="103" spans="1:5" x14ac:dyDescent="0.25">
      <c r="A103" s="63"/>
      <c r="B103" s="48">
        <v>43929</v>
      </c>
      <c r="C103">
        <f>+SUMIFS(Ventas2020!$I:$I,Ventas2020!$B:$B,'Tendencia Diaria'!B103)</f>
        <v>0</v>
      </c>
      <c r="D103">
        <f>+SUMIFS(Ventas2020!$N:$N,Ventas2020!$B:$B,'Tendencia Diaria'!B103)</f>
        <v>0</v>
      </c>
      <c r="E103" s="23"/>
    </row>
    <row r="104" spans="1:5" x14ac:dyDescent="0.25">
      <c r="A104" s="63"/>
      <c r="B104" s="48">
        <v>43930</v>
      </c>
      <c r="C104">
        <f>+SUMIFS(Ventas2020!$I:$I,Ventas2020!$B:$B,'Tendencia Diaria'!B104)</f>
        <v>0</v>
      </c>
      <c r="D104">
        <f>+SUMIFS(Ventas2020!$N:$N,Ventas2020!$B:$B,'Tendencia Diaria'!B104)</f>
        <v>0</v>
      </c>
      <c r="E104" s="23"/>
    </row>
    <row r="105" spans="1:5" x14ac:dyDescent="0.25">
      <c r="A105" s="63"/>
      <c r="B105" s="48">
        <v>43931</v>
      </c>
      <c r="C105">
        <f>+SUMIFS(Ventas2020!$I:$I,Ventas2020!$B:$B,'Tendencia Diaria'!B105)</f>
        <v>0</v>
      </c>
      <c r="D105">
        <f>+SUMIFS(Ventas2020!$N:$N,Ventas2020!$B:$B,'Tendencia Diaria'!B105)</f>
        <v>0</v>
      </c>
      <c r="E105" s="23"/>
    </row>
    <row r="106" spans="1:5" x14ac:dyDescent="0.25">
      <c r="A106" s="63"/>
      <c r="B106" s="48">
        <v>43932</v>
      </c>
      <c r="C106">
        <f>+SUMIFS(Ventas2020!$I:$I,Ventas2020!$B:$B,'Tendencia Diaria'!B106)</f>
        <v>0</v>
      </c>
      <c r="D106">
        <f>+SUMIFS(Ventas2020!$N:$N,Ventas2020!$B:$B,'Tendencia Diaria'!B106)</f>
        <v>0</v>
      </c>
      <c r="E106" s="23"/>
    </row>
    <row r="107" spans="1:5" x14ac:dyDescent="0.25">
      <c r="A107" s="63"/>
      <c r="B107" s="48">
        <v>43933</v>
      </c>
      <c r="C107">
        <f>+SUMIFS(Ventas2020!$I:$I,Ventas2020!$B:$B,'Tendencia Diaria'!B107)</f>
        <v>0</v>
      </c>
      <c r="D107">
        <f>+SUMIFS(Ventas2020!$N:$N,Ventas2020!$B:$B,'Tendencia Diaria'!B107)</f>
        <v>0</v>
      </c>
      <c r="E107" s="23"/>
    </row>
    <row r="108" spans="1:5" x14ac:dyDescent="0.25">
      <c r="A108" s="63"/>
      <c r="B108" s="48">
        <v>43934</v>
      </c>
      <c r="C108">
        <f>+SUMIFS(Ventas2020!$I:$I,Ventas2020!$B:$B,'Tendencia Diaria'!B108)</f>
        <v>28433.50980392157</v>
      </c>
      <c r="D108">
        <f>+SUMIFS(Ventas2020!$N:$N,Ventas2020!$B:$B,'Tendencia Diaria'!B108)</f>
        <v>3924.7906535947714</v>
      </c>
      <c r="E108" s="23">
        <f t="shared" ref="E108:E109" si="5">+D108/C108</f>
        <v>0.13803398457173449</v>
      </c>
    </row>
    <row r="109" spans="1:5" x14ac:dyDescent="0.25">
      <c r="A109" s="63"/>
      <c r="B109" s="48">
        <v>43935</v>
      </c>
      <c r="C109">
        <f>+SUMIFS(Ventas2020!$I:$I,Ventas2020!$B:$B,'Tendencia Diaria'!B109)</f>
        <v>3975.9722222222222</v>
      </c>
      <c r="D109">
        <f>+SUMIFS(Ventas2020!$N:$N,Ventas2020!$B:$B,'Tendencia Diaria'!B109)</f>
        <v>552.34722222222217</v>
      </c>
      <c r="E109" s="23">
        <f t="shared" si="5"/>
        <v>0.13892129807524364</v>
      </c>
    </row>
    <row r="110" spans="1:5" x14ac:dyDescent="0.25">
      <c r="A110" s="63"/>
      <c r="B110" s="48">
        <v>43936</v>
      </c>
      <c r="C110">
        <f>+SUMIFS(Ventas2020!$I:$I,Ventas2020!$B:$B,'Tendencia Diaria'!B110)</f>
        <v>4643.3333333333339</v>
      </c>
      <c r="D110">
        <f>+SUMIFS(Ventas2020!$N:$N,Ventas2020!$B:$B,'Tendencia Diaria'!B110)</f>
        <v>910.66666666666674</v>
      </c>
      <c r="E110" s="23">
        <f t="shared" ref="E110:E116" si="6">+D110/C110</f>
        <v>0.1961234745154343</v>
      </c>
    </row>
    <row r="111" spans="1:5" x14ac:dyDescent="0.25">
      <c r="A111" s="63"/>
      <c r="B111" s="48">
        <v>43937</v>
      </c>
      <c r="C111">
        <f>+SUMIFS(Ventas2020!$I:$I,Ventas2020!$B:$B,'Tendencia Diaria'!B111)</f>
        <v>17801.764705882353</v>
      </c>
      <c r="D111">
        <f>+SUMIFS(Ventas2020!$N:$N,Ventas2020!$B:$B,'Tendencia Diaria'!B111)</f>
        <v>2589.7309803921571</v>
      </c>
      <c r="E111" s="23">
        <f t="shared" si="6"/>
        <v>0.14547608190419545</v>
      </c>
    </row>
    <row r="112" spans="1:5" x14ac:dyDescent="0.25">
      <c r="A112" s="63"/>
      <c r="B112" s="48">
        <v>43938</v>
      </c>
      <c r="C112">
        <f>+SUMIFS(Ventas2020!$I:$I,Ventas2020!$B:$B,'Tendencia Diaria'!B112)</f>
        <v>23200</v>
      </c>
      <c r="D112">
        <f>+SUMIFS(Ventas2020!$N:$N,Ventas2020!$B:$B,'Tendencia Diaria'!B112)</f>
        <v>3182.1111111111113</v>
      </c>
      <c r="E112" s="23">
        <f t="shared" si="6"/>
        <v>0.13715996168582376</v>
      </c>
    </row>
    <row r="113" spans="1:5" x14ac:dyDescent="0.25">
      <c r="A113" s="63"/>
      <c r="B113" s="48">
        <v>43939</v>
      </c>
      <c r="C113">
        <f>+SUMIFS(Ventas2020!$I:$I,Ventas2020!$B:$B,'Tendencia Diaria'!B113)</f>
        <v>3199.333333333333</v>
      </c>
      <c r="D113">
        <f>+SUMIFS(Ventas2020!$N:$N,Ventas2020!$B:$B,'Tendencia Diaria'!B113)</f>
        <v>481.11333333333334</v>
      </c>
      <c r="E113" s="23">
        <f t="shared" si="6"/>
        <v>0.15037924567618255</v>
      </c>
    </row>
    <row r="114" spans="1:5" x14ac:dyDescent="0.25">
      <c r="A114" s="63"/>
      <c r="B114" s="48">
        <v>43940</v>
      </c>
      <c r="C114">
        <f>+SUMIFS(Ventas2020!$I:$I,Ventas2020!$B:$B,'Tendencia Diaria'!B114)</f>
        <v>0</v>
      </c>
      <c r="D114">
        <f>+SUMIFS(Ventas2020!$N:$N,Ventas2020!$B:$B,'Tendencia Diaria'!B114)</f>
        <v>0</v>
      </c>
      <c r="E114" s="23"/>
    </row>
    <row r="115" spans="1:5" x14ac:dyDescent="0.25">
      <c r="A115" s="63"/>
      <c r="B115" s="48">
        <v>43941</v>
      </c>
      <c r="C115">
        <f>+SUMIFS(Ventas2020!$I:$I,Ventas2020!$B:$B,'Tendencia Diaria'!B115)</f>
        <v>8521.9607837137246</v>
      </c>
      <c r="D115">
        <f>+SUMIFS(Ventas2020!$N:$N,Ventas2020!$B:$B,'Tendencia Diaria'!B115)</f>
        <v>849.6594545409157</v>
      </c>
      <c r="E115" s="23">
        <f t="shared" si="6"/>
        <v>9.9702342700836583E-2</v>
      </c>
    </row>
    <row r="116" spans="1:5" x14ac:dyDescent="0.25">
      <c r="A116" s="63"/>
      <c r="B116" s="48">
        <v>43942</v>
      </c>
      <c r="C116">
        <f>+SUMIFS(Ventas2020!$I:$I,Ventas2020!$B:$B,'Tendencia Diaria'!B116)</f>
        <v>15777.941176470587</v>
      </c>
      <c r="D116">
        <f>+SUMIFS(Ventas2020!$N:$N,Ventas2020!$B:$B,'Tendencia Diaria'!B116)</f>
        <v>1934.7303921568628</v>
      </c>
      <c r="E116" s="23">
        <f t="shared" si="6"/>
        <v>0.12262248733960916</v>
      </c>
    </row>
    <row r="117" spans="1:5" x14ac:dyDescent="0.25">
      <c r="A117" s="63"/>
      <c r="B117" s="48">
        <v>43943</v>
      </c>
      <c r="C117">
        <f>+SUMIFS(Ventas2020!$I:$I,Ventas2020!$B:$B,'Tendencia Diaria'!B117)</f>
        <v>8588.8333333333321</v>
      </c>
      <c r="D117">
        <f>+SUMIFS(Ventas2020!$N:$N,Ventas2020!$B:$B,'Tendencia Diaria'!B117)</f>
        <v>1342.15</v>
      </c>
      <c r="E117" s="23">
        <f t="shared" ref="E117:E123" si="7">+D117/C117</f>
        <v>0.15626685812974214</v>
      </c>
    </row>
    <row r="118" spans="1:5" x14ac:dyDescent="0.25">
      <c r="A118" s="63"/>
      <c r="B118" s="48">
        <v>43944</v>
      </c>
      <c r="C118">
        <f>+SUMIFS(Ventas2020!$I:$I,Ventas2020!$B:$B,'Tendencia Diaria'!B118)</f>
        <v>13773.921568627451</v>
      </c>
      <c r="D118">
        <f>+SUMIFS(Ventas2020!$N:$N,Ventas2020!$B:$B,'Tendencia Diaria'!B118)</f>
        <v>2803.2614379084966</v>
      </c>
      <c r="E118" s="23">
        <f t="shared" si="7"/>
        <v>0.20351948600414727</v>
      </c>
    </row>
    <row r="119" spans="1:5" x14ac:dyDescent="0.25">
      <c r="A119" s="63"/>
      <c r="B119" s="48">
        <v>43945</v>
      </c>
      <c r="C119">
        <f>+SUMIFS(Ventas2020!$I:$I,Ventas2020!$B:$B,'Tendencia Diaria'!B119)</f>
        <v>18811.5</v>
      </c>
      <c r="D119">
        <f>+SUMIFS(Ventas2020!$N:$N,Ventas2020!$B:$B,'Tendencia Diaria'!B119)</f>
        <v>2848.7233333333334</v>
      </c>
      <c r="E119" s="23">
        <f t="shared" si="7"/>
        <v>0.15143520364316154</v>
      </c>
    </row>
    <row r="120" spans="1:5" x14ac:dyDescent="0.25">
      <c r="A120" s="63"/>
      <c r="B120" s="48">
        <v>43946</v>
      </c>
      <c r="C120">
        <f>+SUMIFS(Ventas2020!$I:$I,Ventas2020!$B:$B,'Tendencia Diaria'!B120)</f>
        <v>9364.5666666666657</v>
      </c>
      <c r="D120">
        <f>+SUMIFS(Ventas2020!$N:$N,Ventas2020!$B:$B,'Tendencia Diaria'!B120)</f>
        <v>1533.6011111111109</v>
      </c>
      <c r="E120" s="23">
        <f t="shared" si="7"/>
        <v>0.16376637229461882</v>
      </c>
    </row>
    <row r="121" spans="1:5" x14ac:dyDescent="0.25">
      <c r="A121" s="63"/>
      <c r="B121" s="48">
        <v>43947</v>
      </c>
      <c r="C121">
        <f>+SUMIFS(Ventas2020!$I:$I,Ventas2020!$B:$B,'Tendencia Diaria'!B121)</f>
        <v>0</v>
      </c>
      <c r="D121">
        <f>+SUMIFS(Ventas2020!$N:$N,Ventas2020!$B:$B,'Tendencia Diaria'!B121)</f>
        <v>0</v>
      </c>
      <c r="E121" s="23"/>
    </row>
    <row r="122" spans="1:5" x14ac:dyDescent="0.25">
      <c r="A122" s="63"/>
      <c r="B122" s="48">
        <v>43948</v>
      </c>
      <c r="C122">
        <f>+SUMIFS(Ventas2020!$I:$I,Ventas2020!$B:$B,'Tendencia Diaria'!B122)</f>
        <v>24834.780000000002</v>
      </c>
      <c r="D122">
        <f>+SUMIFS(Ventas2020!$N:$N,Ventas2020!$B:$B,'Tendencia Diaria'!B122)</f>
        <v>3716.626666666667</v>
      </c>
      <c r="E122" s="23">
        <f t="shared" si="7"/>
        <v>0.14965410068728882</v>
      </c>
    </row>
    <row r="123" spans="1:5" x14ac:dyDescent="0.25">
      <c r="A123" s="63"/>
      <c r="B123" s="48">
        <v>43949</v>
      </c>
      <c r="C123">
        <f>+SUMIFS(Ventas2020!$I:$I,Ventas2020!$B:$B,'Tendencia Diaria'!B123)</f>
        <v>17297.940740740742</v>
      </c>
      <c r="D123">
        <f>+SUMIFS(Ventas2020!$N:$N,Ventas2020!$B:$B,'Tendencia Diaria'!B123)</f>
        <v>2532.5496296296296</v>
      </c>
      <c r="E123" s="23">
        <f t="shared" si="7"/>
        <v>0.14640757923657793</v>
      </c>
    </row>
    <row r="124" spans="1:5" x14ac:dyDescent="0.25">
      <c r="A124" s="63"/>
      <c r="B124" s="48">
        <v>43950</v>
      </c>
      <c r="C124">
        <f>+SUMIFS(Ventas2020!$I:$I,Ventas2020!$B:$B,'Tendencia Diaria'!B124)</f>
        <v>12200.555555555557</v>
      </c>
      <c r="D124">
        <f>+SUMIFS(Ventas2020!$N:$N,Ventas2020!$B:$B,'Tendencia Diaria'!B124)</f>
        <v>1910.4444444444443</v>
      </c>
      <c r="E124" s="23">
        <f t="shared" ref="E124:E126" si="8">+D124/C124</f>
        <v>0.15658667638085697</v>
      </c>
    </row>
    <row r="125" spans="1:5" ht="15.75" thickBot="1" x14ac:dyDescent="0.3">
      <c r="A125" s="64"/>
      <c r="B125" s="48">
        <v>43951</v>
      </c>
      <c r="C125">
        <f>+SUMIFS(Ventas2020!$I:$I,Ventas2020!$B:$B,'Tendencia Diaria'!B125)</f>
        <v>4992.2</v>
      </c>
      <c r="D125">
        <f>+SUMIFS(Ventas2020!$N:$N,Ventas2020!$B:$B,'Tendencia Diaria'!B125)</f>
        <v>789.92</v>
      </c>
      <c r="E125" s="23">
        <f t="shared" si="8"/>
        <v>0.15823084011057248</v>
      </c>
    </row>
    <row r="126" spans="1:5" ht="16.5" thickTop="1" thickBot="1" x14ac:dyDescent="0.3">
      <c r="A126" s="61" t="s">
        <v>5</v>
      </c>
      <c r="B126" s="61"/>
      <c r="C126" s="36">
        <f>SUM(C96:C125)</f>
        <v>307300.5249885068</v>
      </c>
      <c r="D126" s="36">
        <f>SUM(D96:D125)</f>
        <v>45646.842665869895</v>
      </c>
      <c r="E126" s="37">
        <f t="shared" si="8"/>
        <v>0.14854137547463386</v>
      </c>
    </row>
    <row r="127" spans="1:5" ht="15.75" thickTop="1" x14ac:dyDescent="0.25">
      <c r="A127" s="65" t="s">
        <v>336</v>
      </c>
      <c r="B127" s="48">
        <v>43952</v>
      </c>
      <c r="C127">
        <f>+SUMIFS(Ventas2020!$I:$I,Ventas2020!$B:$B,'Tendencia Diaria'!B127)</f>
        <v>0</v>
      </c>
      <c r="D127">
        <f>+SUMIFS(Ventas2020!$N:$N,Ventas2020!$B:$B,'Tendencia Diaria'!B127)</f>
        <v>0</v>
      </c>
      <c r="E127" s="23"/>
    </row>
    <row r="128" spans="1:5" x14ac:dyDescent="0.25">
      <c r="A128" s="63"/>
      <c r="B128" s="48">
        <v>43953</v>
      </c>
      <c r="C128">
        <f>+SUMIFS(Ventas2020!$I:$I,Ventas2020!$B:$B,'Tendencia Diaria'!B128)</f>
        <v>13440.65</v>
      </c>
      <c r="D128">
        <f>+SUMIFS(Ventas2020!$N:$N,Ventas2020!$B:$B,'Tendencia Diaria'!B128)</f>
        <v>3099.2570000000005</v>
      </c>
      <c r="E128" s="23">
        <f t="shared" ref="E128:E157" si="9">+D128/C128</f>
        <v>0.23058832720143749</v>
      </c>
    </row>
    <row r="129" spans="1:5" x14ac:dyDescent="0.25">
      <c r="A129" s="63"/>
      <c r="B129" s="48">
        <v>43954</v>
      </c>
      <c r="C129">
        <f>+SUMIFS(Ventas2020!$I:$I,Ventas2020!$B:$B,'Tendencia Diaria'!B129)</f>
        <v>0</v>
      </c>
      <c r="D129">
        <f>+SUMIFS(Ventas2020!$N:$N,Ventas2020!$B:$B,'Tendencia Diaria'!B129)</f>
        <v>0</v>
      </c>
      <c r="E129" s="23" t="e">
        <f t="shared" si="9"/>
        <v>#DIV/0!</v>
      </c>
    </row>
    <row r="130" spans="1:5" x14ac:dyDescent="0.25">
      <c r="A130" s="63"/>
      <c r="B130" s="48">
        <v>43955</v>
      </c>
      <c r="C130">
        <f>+SUMIFS(Ventas2020!$I:$I,Ventas2020!$B:$B,'Tendencia Diaria'!B130)</f>
        <v>22288.333333333336</v>
      </c>
      <c r="D130">
        <f>+SUMIFS(Ventas2020!$N:$N,Ventas2020!$B:$B,'Tendencia Diaria'!B130)</f>
        <v>3313.7222222222222</v>
      </c>
      <c r="E130" s="23">
        <f t="shared" si="9"/>
        <v>0.14867519130586504</v>
      </c>
    </row>
    <row r="131" spans="1:5" x14ac:dyDescent="0.25">
      <c r="A131" s="63"/>
      <c r="B131" s="48">
        <v>43956</v>
      </c>
      <c r="C131">
        <f>+SUMIFS(Ventas2020!$I:$I,Ventas2020!$B:$B,'Tendencia Diaria'!B131)</f>
        <v>2766.9</v>
      </c>
      <c r="D131">
        <f>+SUMIFS(Ventas2020!$N:$N,Ventas2020!$B:$B,'Tendencia Diaria'!B131)</f>
        <v>370.62666666666667</v>
      </c>
      <c r="E131" s="23">
        <f t="shared" si="9"/>
        <v>0.13395014878263278</v>
      </c>
    </row>
    <row r="132" spans="1:5" x14ac:dyDescent="0.25">
      <c r="A132" s="63"/>
      <c r="B132" s="48">
        <v>43957</v>
      </c>
      <c r="C132">
        <f>+SUMIFS(Ventas2020!$I:$I,Ventas2020!$B:$B,'Tendencia Diaria'!B132)</f>
        <v>8311.9</v>
      </c>
      <c r="D132">
        <f>+SUMIFS(Ventas2020!$N:$N,Ventas2020!$B:$B,'Tendencia Diaria'!B132)</f>
        <v>1104.2933333333333</v>
      </c>
      <c r="E132" s="23">
        <f t="shared" si="9"/>
        <v>0.13285690796729188</v>
      </c>
    </row>
    <row r="133" spans="1:5" x14ac:dyDescent="0.25">
      <c r="A133" s="63"/>
      <c r="B133" s="48">
        <v>43958</v>
      </c>
      <c r="C133">
        <f>+SUMIFS(Ventas2020!$I:$I,Ventas2020!$B:$B,'Tendencia Diaria'!B133)</f>
        <v>9745</v>
      </c>
      <c r="D133">
        <f>+SUMIFS(Ventas2020!$N:$N,Ventas2020!$B:$B,'Tendencia Diaria'!B133)</f>
        <v>1258.6666666666667</v>
      </c>
      <c r="E133" s="23">
        <f t="shared" si="9"/>
        <v>0.12916025312125878</v>
      </c>
    </row>
    <row r="134" spans="1:5" x14ac:dyDescent="0.25">
      <c r="A134" s="63"/>
      <c r="B134" s="48">
        <v>43959</v>
      </c>
      <c r="C134">
        <f>+SUMIFS(Ventas2020!$I:$I,Ventas2020!$B:$B,'Tendencia Diaria'!B134)</f>
        <v>24976.666666666668</v>
      </c>
      <c r="D134">
        <f>+SUMIFS(Ventas2020!$N:$N,Ventas2020!$B:$B,'Tendencia Diaria'!B134)</f>
        <v>3847.5611111111111</v>
      </c>
      <c r="E134" s="23">
        <f t="shared" si="9"/>
        <v>0.15404622091730058</v>
      </c>
    </row>
    <row r="135" spans="1:5" x14ac:dyDescent="0.25">
      <c r="A135" s="63"/>
      <c r="B135" s="48">
        <v>43960</v>
      </c>
      <c r="C135">
        <f>+SUMIFS(Ventas2020!$I:$I,Ventas2020!$B:$B,'Tendencia Diaria'!B135)</f>
        <v>12658.888888888889</v>
      </c>
      <c r="D135">
        <f>+SUMIFS(Ventas2020!$N:$N,Ventas2020!$B:$B,'Tendencia Diaria'!B135)</f>
        <v>2213.7777777777778</v>
      </c>
      <c r="E135" s="23">
        <f t="shared" si="9"/>
        <v>0.17487931185815853</v>
      </c>
    </row>
    <row r="136" spans="1:5" x14ac:dyDescent="0.25">
      <c r="A136" s="63"/>
      <c r="B136" s="48">
        <v>43961</v>
      </c>
      <c r="C136">
        <f>+SUMIFS(Ventas2020!$I:$I,Ventas2020!$B:$B,'Tendencia Diaria'!B136)</f>
        <v>0</v>
      </c>
      <c r="D136">
        <f>+SUMIFS(Ventas2020!$N:$N,Ventas2020!$B:$B,'Tendencia Diaria'!B136)</f>
        <v>0</v>
      </c>
      <c r="E136" s="23" t="e">
        <f t="shared" si="9"/>
        <v>#DIV/0!</v>
      </c>
    </row>
    <row r="137" spans="1:5" x14ac:dyDescent="0.25">
      <c r="A137" s="63"/>
      <c r="B137" s="48">
        <v>43962</v>
      </c>
      <c r="C137">
        <f>+SUMIFS(Ventas2020!$I:$I,Ventas2020!$B:$B,'Tendencia Diaria'!B137)</f>
        <v>0</v>
      </c>
      <c r="D137">
        <f>+SUMIFS(Ventas2020!$N:$N,Ventas2020!$B:$B,'Tendencia Diaria'!B137)</f>
        <v>0</v>
      </c>
      <c r="E137" s="23" t="e">
        <f t="shared" si="9"/>
        <v>#DIV/0!</v>
      </c>
    </row>
    <row r="138" spans="1:5" x14ac:dyDescent="0.25">
      <c r="A138" s="63"/>
      <c r="B138" s="48">
        <v>43963</v>
      </c>
      <c r="C138">
        <f>+SUMIFS(Ventas2020!$I:$I,Ventas2020!$B:$B,'Tendencia Diaria'!B138)</f>
        <v>0</v>
      </c>
      <c r="D138">
        <f>+SUMIFS(Ventas2020!$N:$N,Ventas2020!$B:$B,'Tendencia Diaria'!B138)</f>
        <v>0</v>
      </c>
      <c r="E138" s="23" t="e">
        <f t="shared" si="9"/>
        <v>#DIV/0!</v>
      </c>
    </row>
    <row r="139" spans="1:5" x14ac:dyDescent="0.25">
      <c r="A139" s="63"/>
      <c r="B139" s="48">
        <v>43964</v>
      </c>
      <c r="C139">
        <f>+SUMIFS(Ventas2020!$I:$I,Ventas2020!$B:$B,'Tendencia Diaria'!B139)</f>
        <v>0</v>
      </c>
      <c r="D139">
        <f>+SUMIFS(Ventas2020!$N:$N,Ventas2020!$B:$B,'Tendencia Diaria'!B139)</f>
        <v>0</v>
      </c>
      <c r="E139" s="23" t="e">
        <f t="shared" si="9"/>
        <v>#DIV/0!</v>
      </c>
    </row>
    <row r="140" spans="1:5" x14ac:dyDescent="0.25">
      <c r="A140" s="63"/>
      <c r="B140" s="48">
        <v>43965</v>
      </c>
      <c r="C140">
        <f>+SUMIFS(Ventas2020!$I:$I,Ventas2020!$B:$B,'Tendencia Diaria'!B140)</f>
        <v>1090</v>
      </c>
      <c r="D140">
        <f>+SUMIFS(Ventas2020!$N:$N,Ventas2020!$B:$B,'Tendencia Diaria'!B140)</f>
        <v>153</v>
      </c>
      <c r="E140" s="23">
        <f t="shared" si="9"/>
        <v>0.14036697247706423</v>
      </c>
    </row>
    <row r="141" spans="1:5" x14ac:dyDescent="0.25">
      <c r="A141" s="63"/>
      <c r="B141" s="48">
        <v>43966</v>
      </c>
      <c r="C141">
        <f>+SUMIFS(Ventas2020!$I:$I,Ventas2020!$B:$B,'Tendencia Diaria'!B141)</f>
        <v>0</v>
      </c>
      <c r="D141">
        <f>+SUMIFS(Ventas2020!$N:$N,Ventas2020!$B:$B,'Tendencia Diaria'!B141)</f>
        <v>0</v>
      </c>
      <c r="E141" s="23" t="e">
        <f t="shared" si="9"/>
        <v>#DIV/0!</v>
      </c>
    </row>
    <row r="142" spans="1:5" x14ac:dyDescent="0.25">
      <c r="A142" s="63"/>
      <c r="B142" s="48">
        <v>43967</v>
      </c>
      <c r="C142">
        <f>+SUMIFS(Ventas2020!$I:$I,Ventas2020!$B:$B,'Tendencia Diaria'!B142)</f>
        <v>0</v>
      </c>
      <c r="D142">
        <f>+SUMIFS(Ventas2020!$N:$N,Ventas2020!$B:$B,'Tendencia Diaria'!B142)</f>
        <v>0</v>
      </c>
      <c r="E142" s="23" t="e">
        <f t="shared" si="9"/>
        <v>#DIV/0!</v>
      </c>
    </row>
    <row r="143" spans="1:5" x14ac:dyDescent="0.25">
      <c r="A143" s="63"/>
      <c r="B143" s="48">
        <v>43968</v>
      </c>
      <c r="C143">
        <f>+SUMIFS(Ventas2020!$I:$I,Ventas2020!$B:$B,'Tendencia Diaria'!B143)</f>
        <v>0</v>
      </c>
      <c r="D143">
        <f>+SUMIFS(Ventas2020!$N:$N,Ventas2020!$B:$B,'Tendencia Diaria'!B143)</f>
        <v>0</v>
      </c>
      <c r="E143" s="23" t="e">
        <f t="shared" si="9"/>
        <v>#DIV/0!</v>
      </c>
    </row>
    <row r="144" spans="1:5" x14ac:dyDescent="0.25">
      <c r="A144" s="63"/>
      <c r="B144" s="48">
        <v>43969</v>
      </c>
      <c r="C144">
        <f>+SUMIFS(Ventas2020!$I:$I,Ventas2020!$B:$B,'Tendencia Diaria'!B144)</f>
        <v>30961.938775510203</v>
      </c>
      <c r="D144">
        <f>+SUMIFS(Ventas2020!$N:$N,Ventas2020!$B:$B,'Tendencia Diaria'!B144)</f>
        <v>4518.0408163265311</v>
      </c>
      <c r="E144" s="23">
        <f t="shared" si="9"/>
        <v>0.14592241296918207</v>
      </c>
    </row>
    <row r="145" spans="1:5" x14ac:dyDescent="0.25">
      <c r="A145" s="63"/>
      <c r="B145" s="48">
        <v>43970</v>
      </c>
      <c r="C145">
        <f>+SUMIFS(Ventas2020!$I:$I,Ventas2020!$B:$B,'Tendencia Diaria'!B145)</f>
        <v>1858.627450980392</v>
      </c>
      <c r="D145">
        <f>+SUMIFS(Ventas2020!$N:$N,Ventas2020!$B:$B,'Tendencia Diaria'!B145)</f>
        <v>280.20915032679738</v>
      </c>
      <c r="E145" s="23">
        <f t="shared" si="9"/>
        <v>0.15076133206737702</v>
      </c>
    </row>
    <row r="146" spans="1:5" x14ac:dyDescent="0.25">
      <c r="A146" s="63"/>
      <c r="B146" s="48">
        <v>43971</v>
      </c>
      <c r="C146">
        <f>+SUMIFS(Ventas2020!$I:$I,Ventas2020!$B:$B,'Tendencia Diaria'!B146)</f>
        <v>3195</v>
      </c>
      <c r="D146">
        <f>+SUMIFS(Ventas2020!$N:$N,Ventas2020!$B:$B,'Tendencia Diaria'!B146)</f>
        <v>537.33333333333337</v>
      </c>
      <c r="E146" s="23">
        <f t="shared" si="9"/>
        <v>0.1681794470526865</v>
      </c>
    </row>
    <row r="147" spans="1:5" x14ac:dyDescent="0.25">
      <c r="A147" s="63"/>
      <c r="B147" s="48">
        <v>43972</v>
      </c>
      <c r="C147">
        <f>+SUMIFS(Ventas2020!$I:$I,Ventas2020!$B:$B,'Tendencia Diaria'!B147)</f>
        <v>10699.4</v>
      </c>
      <c r="D147">
        <f>+SUMIFS(Ventas2020!$N:$N,Ventas2020!$B:$B,'Tendencia Diaria'!B147)</f>
        <v>1115.4333333333332</v>
      </c>
      <c r="E147" s="23">
        <f t="shared" si="9"/>
        <v>0.10425195182284364</v>
      </c>
    </row>
    <row r="148" spans="1:5" x14ac:dyDescent="0.25">
      <c r="A148" s="63"/>
      <c r="B148" s="48">
        <v>43973</v>
      </c>
      <c r="C148">
        <f>+SUMIFS(Ventas2020!$I:$I,Ventas2020!$B:$B,'Tendencia Diaria'!B148)</f>
        <v>5010</v>
      </c>
      <c r="D148">
        <f>+SUMIFS(Ventas2020!$N:$N,Ventas2020!$B:$B,'Tendencia Diaria'!B148)</f>
        <v>640</v>
      </c>
      <c r="E148" s="23">
        <f t="shared" si="9"/>
        <v>0.1277445109780439</v>
      </c>
    </row>
    <row r="149" spans="1:5" x14ac:dyDescent="0.25">
      <c r="A149" s="63"/>
      <c r="B149" s="48">
        <v>43974</v>
      </c>
      <c r="C149">
        <f>+SUMIFS(Ventas2020!$I:$I,Ventas2020!$B:$B,'Tendencia Diaria'!B149)</f>
        <v>480</v>
      </c>
      <c r="D149">
        <f>+SUMIFS(Ventas2020!$N:$N,Ventas2020!$B:$B,'Tendencia Diaria'!B149)</f>
        <v>109.16666666666666</v>
      </c>
      <c r="E149" s="23">
        <f t="shared" si="9"/>
        <v>0.22743055555555552</v>
      </c>
    </row>
    <row r="150" spans="1:5" x14ac:dyDescent="0.25">
      <c r="A150" s="63"/>
      <c r="B150" s="48">
        <v>43975</v>
      </c>
      <c r="C150">
        <f>+SUMIFS(Ventas2020!$I:$I,Ventas2020!$B:$B,'Tendencia Diaria'!B150)</f>
        <v>0</v>
      </c>
      <c r="D150">
        <f>+SUMIFS(Ventas2020!$N:$N,Ventas2020!$B:$B,'Tendencia Diaria'!B150)</f>
        <v>0</v>
      </c>
      <c r="E150" s="23" t="e">
        <f t="shared" si="9"/>
        <v>#DIV/0!</v>
      </c>
    </row>
    <row r="151" spans="1:5" x14ac:dyDescent="0.25">
      <c r="A151" s="63"/>
      <c r="B151" s="48">
        <v>43976</v>
      </c>
      <c r="C151">
        <f>+SUMIFS(Ventas2020!$I:$I,Ventas2020!$B:$B,'Tendencia Diaria'!B151)</f>
        <v>2682.5</v>
      </c>
      <c r="D151">
        <f>+SUMIFS(Ventas2020!$N:$N,Ventas2020!$B:$B,'Tendencia Diaria'!B151)</f>
        <v>528.03</v>
      </c>
      <c r="E151" s="23">
        <f t="shared" si="9"/>
        <v>0.19684249767008385</v>
      </c>
    </row>
    <row r="152" spans="1:5" x14ac:dyDescent="0.25">
      <c r="A152" s="63"/>
      <c r="B152" s="48">
        <v>43977</v>
      </c>
      <c r="C152">
        <f>+SUMIFS(Ventas2020!$I:$I,Ventas2020!$B:$B,'Tendencia Diaria'!B152)</f>
        <v>25032.058823529413</v>
      </c>
      <c r="D152">
        <f>+SUMIFS(Ventas2020!$N:$N,Ventas2020!$B:$B,'Tendencia Diaria'!B152)</f>
        <v>3730.5</v>
      </c>
      <c r="E152" s="23">
        <f t="shared" si="9"/>
        <v>0.14902889236155989</v>
      </c>
    </row>
    <row r="153" spans="1:5" x14ac:dyDescent="0.25">
      <c r="A153" s="63"/>
      <c r="B153" s="48">
        <v>43978</v>
      </c>
      <c r="C153">
        <f>+SUMIFS(Ventas2020!$I:$I,Ventas2020!$B:$B,'Tendencia Diaria'!B153)</f>
        <v>1852.9411764705883</v>
      </c>
      <c r="D153">
        <f>+SUMIFS(Ventas2020!$N:$N,Ventas2020!$B:$B,'Tendencia Diaria'!B153)</f>
        <v>233.64705882352942</v>
      </c>
      <c r="E153" s="23">
        <f t="shared" si="9"/>
        <v>0.12609523809523809</v>
      </c>
    </row>
    <row r="154" spans="1:5" x14ac:dyDescent="0.25">
      <c r="A154" s="63"/>
      <c r="B154" s="48">
        <v>43979</v>
      </c>
      <c r="C154">
        <f>+SUMIFS(Ventas2020!$I:$I,Ventas2020!$B:$B,'Tendencia Diaria'!B154)</f>
        <v>3330</v>
      </c>
      <c r="D154">
        <f>+SUMIFS(Ventas2020!$N:$N,Ventas2020!$B:$B,'Tendencia Diaria'!B154)</f>
        <v>576</v>
      </c>
      <c r="E154" s="23">
        <f t="shared" si="9"/>
        <v>0.17297297297297298</v>
      </c>
    </row>
    <row r="155" spans="1:5" x14ac:dyDescent="0.25">
      <c r="A155" s="63"/>
      <c r="B155" s="48">
        <v>43980</v>
      </c>
      <c r="C155">
        <f>+SUMIFS(Ventas2020!$I:$I,Ventas2020!$B:$B,'Tendencia Diaria'!B155)</f>
        <v>4568.2222222222226</v>
      </c>
      <c r="D155">
        <f>+SUMIFS(Ventas2020!$N:$N,Ventas2020!$B:$B,'Tendencia Diaria'!B155)</f>
        <v>1110.1259259259259</v>
      </c>
      <c r="E155" s="23">
        <f t="shared" si="9"/>
        <v>0.2430104911546756</v>
      </c>
    </row>
    <row r="156" spans="1:5" x14ac:dyDescent="0.25">
      <c r="A156" s="63"/>
      <c r="B156" s="48">
        <v>43981</v>
      </c>
      <c r="C156">
        <f>+SUMIFS(Ventas2020!$I:$I,Ventas2020!$B:$B,'Tendencia Diaria'!B156)</f>
        <v>0</v>
      </c>
      <c r="D156">
        <f>+SUMIFS(Ventas2020!$N:$N,Ventas2020!$B:$B,'Tendencia Diaria'!B156)</f>
        <v>0</v>
      </c>
      <c r="E156" s="23" t="e">
        <f t="shared" si="9"/>
        <v>#DIV/0!</v>
      </c>
    </row>
    <row r="157" spans="1:5" ht="15.75" thickBot="1" x14ac:dyDescent="0.3">
      <c r="A157" s="64"/>
      <c r="B157" s="48">
        <v>43982</v>
      </c>
      <c r="C157">
        <f>+SUMIFS(Ventas2020!$I:$I,Ventas2020!$B:$B,'Tendencia Diaria'!B157)</f>
        <v>0</v>
      </c>
      <c r="D157">
        <f>+SUMIFS(Ventas2020!$N:$N,Ventas2020!$B:$B,'Tendencia Diaria'!B157)</f>
        <v>0</v>
      </c>
      <c r="E157" s="23" t="e">
        <f t="shared" si="9"/>
        <v>#DIV/0!</v>
      </c>
    </row>
    <row r="158" spans="1:5" ht="16.5" thickTop="1" thickBot="1" x14ac:dyDescent="0.3">
      <c r="A158" s="61" t="s">
        <v>5</v>
      </c>
      <c r="B158" s="61"/>
      <c r="C158" s="36">
        <f>SUM(C127:C157)</f>
        <v>184949.02733760173</v>
      </c>
      <c r="D158" s="36">
        <f>SUM(D127:D157)</f>
        <v>28739.391062513896</v>
      </c>
      <c r="E158" s="37">
        <f t="shared" ref="E158:E188" si="10">+D158/C158</f>
        <v>0.15539087431940732</v>
      </c>
    </row>
    <row r="159" spans="1:5" ht="15.75" thickTop="1" x14ac:dyDescent="0.25">
      <c r="A159" s="63" t="s">
        <v>347</v>
      </c>
      <c r="B159" s="48">
        <v>43983</v>
      </c>
      <c r="C159">
        <f>+SUMIFS(Ventas2020!$I:$I,Ventas2020!$B:$B,'Tendencia Diaria'!B159)</f>
        <v>0</v>
      </c>
      <c r="D159">
        <f>+SUMIFS(Ventas2020!$N:$N,Ventas2020!$B:$B,'Tendencia Diaria'!B159)</f>
        <v>0</v>
      </c>
      <c r="E159" s="23" t="e">
        <f t="shared" si="10"/>
        <v>#DIV/0!</v>
      </c>
    </row>
    <row r="160" spans="1:5" x14ac:dyDescent="0.25">
      <c r="A160" s="63"/>
      <c r="B160" s="48">
        <v>43984</v>
      </c>
      <c r="C160">
        <f>+SUMIFS(Ventas2020!$I:$I,Ventas2020!$B:$B,'Tendencia Diaria'!B160)</f>
        <v>23100</v>
      </c>
      <c r="D160">
        <f>+SUMIFS(Ventas2020!$N:$N,Ventas2020!$B:$B,'Tendencia Diaria'!B160)</f>
        <v>3702.5</v>
      </c>
      <c r="E160" s="23">
        <f t="shared" si="10"/>
        <v>0.16028138528138527</v>
      </c>
    </row>
    <row r="161" spans="1:5" x14ac:dyDescent="0.25">
      <c r="A161" s="63"/>
      <c r="B161" s="48">
        <v>43985</v>
      </c>
      <c r="C161">
        <f>+SUMIFS(Ventas2020!$I:$I,Ventas2020!$B:$B,'Tendencia Diaria'!B161)</f>
        <v>7210</v>
      </c>
      <c r="D161">
        <f>+SUMIFS(Ventas2020!$N:$N,Ventas2020!$B:$B,'Tendencia Diaria'!B161)</f>
        <v>958</v>
      </c>
      <c r="E161" s="23">
        <f t="shared" si="10"/>
        <v>0.13287101248266298</v>
      </c>
    </row>
    <row r="162" spans="1:5" x14ac:dyDescent="0.25">
      <c r="A162" s="63"/>
      <c r="B162" s="48">
        <v>43986</v>
      </c>
      <c r="C162">
        <f>+SUMIFS(Ventas2020!$I:$I,Ventas2020!$B:$B,'Tendencia Diaria'!B162)</f>
        <v>1999.5</v>
      </c>
      <c r="D162">
        <f>+SUMIFS(Ventas2020!$N:$N,Ventas2020!$B:$B,'Tendencia Diaria'!B162)</f>
        <v>221.89999999999986</v>
      </c>
      <c r="E162" s="23">
        <f t="shared" si="10"/>
        <v>0.11097774443610896</v>
      </c>
    </row>
    <row r="163" spans="1:5" x14ac:dyDescent="0.25">
      <c r="A163" s="63"/>
      <c r="B163" s="48">
        <v>43987</v>
      </c>
      <c r="C163">
        <f>+SUMIFS(Ventas2020!$I:$I,Ventas2020!$B:$B,'Tendencia Diaria'!B163)</f>
        <v>15274.470588235294</v>
      </c>
      <c r="D163">
        <f>+SUMIFS(Ventas2020!$N:$N,Ventas2020!$B:$B,'Tendencia Diaria'!B163)</f>
        <v>2309.6235294117646</v>
      </c>
      <c r="E163" s="23">
        <f t="shared" si="10"/>
        <v>0.15120809039304337</v>
      </c>
    </row>
    <row r="164" spans="1:5" x14ac:dyDescent="0.25">
      <c r="A164" s="63"/>
      <c r="B164" s="48">
        <v>43988</v>
      </c>
      <c r="C164">
        <f>+SUMIFS(Ventas2020!$I:$I,Ventas2020!$B:$B,'Tendencia Diaria'!B164)</f>
        <v>29835</v>
      </c>
      <c r="D164">
        <f>+SUMIFS(Ventas2020!$N:$N,Ventas2020!$B:$B,'Tendencia Diaria'!B164)</f>
        <v>5205</v>
      </c>
      <c r="E164" s="23">
        <f t="shared" si="10"/>
        <v>0.17445952740070386</v>
      </c>
    </row>
    <row r="165" spans="1:5" x14ac:dyDescent="0.25">
      <c r="A165" s="63"/>
      <c r="B165" s="48">
        <v>43989</v>
      </c>
      <c r="C165">
        <f>+SUMIFS(Ventas2020!$I:$I,Ventas2020!$B:$B,'Tendencia Diaria'!B165)</f>
        <v>0</v>
      </c>
      <c r="D165">
        <f>+SUMIFS(Ventas2020!$N:$N,Ventas2020!$B:$B,'Tendencia Diaria'!B165)</f>
        <v>0</v>
      </c>
      <c r="E165" s="23" t="e">
        <f t="shared" si="10"/>
        <v>#DIV/0!</v>
      </c>
    </row>
    <row r="166" spans="1:5" x14ac:dyDescent="0.25">
      <c r="A166" s="63"/>
      <c r="B166" s="48">
        <v>43990</v>
      </c>
      <c r="C166">
        <f>+SUMIFS(Ventas2020!$I:$I,Ventas2020!$B:$B,'Tendencia Diaria'!B166)</f>
        <v>17291.666666666668</v>
      </c>
      <c r="D166">
        <f>+SUMIFS(Ventas2020!$N:$N,Ventas2020!$B:$B,'Tendencia Diaria'!B166)</f>
        <v>3030.614222222222</v>
      </c>
      <c r="E166" s="23">
        <f t="shared" si="10"/>
        <v>0.17526443694779115</v>
      </c>
    </row>
    <row r="167" spans="1:5" x14ac:dyDescent="0.25">
      <c r="A167" s="63"/>
      <c r="B167" s="48">
        <v>43991</v>
      </c>
      <c r="C167">
        <f>+SUMIFS(Ventas2020!$I:$I,Ventas2020!$B:$B,'Tendencia Diaria'!B167)</f>
        <v>39029.444444444445</v>
      </c>
      <c r="D167">
        <f>+SUMIFS(Ventas2020!$N:$N,Ventas2020!$B:$B,'Tendencia Diaria'!B167)</f>
        <v>5802.0066666666671</v>
      </c>
      <c r="E167" s="23">
        <f t="shared" si="10"/>
        <v>0.14865716766543779</v>
      </c>
    </row>
    <row r="168" spans="1:5" x14ac:dyDescent="0.25">
      <c r="A168" s="63"/>
      <c r="B168" s="48">
        <v>43992</v>
      </c>
      <c r="C168">
        <f>+SUMIFS(Ventas2020!$I:$I,Ventas2020!$B:$B,'Tendencia Diaria'!B168)</f>
        <v>10246.799999999999</v>
      </c>
      <c r="D168">
        <f>+SUMIFS(Ventas2020!$N:$N,Ventas2020!$B:$B,'Tendencia Diaria'!B168)</f>
        <v>1522.26</v>
      </c>
      <c r="E168" s="23">
        <f t="shared" si="10"/>
        <v>0.14855955029862983</v>
      </c>
    </row>
    <row r="169" spans="1:5" x14ac:dyDescent="0.25">
      <c r="A169" s="63"/>
      <c r="B169" s="48">
        <v>43993</v>
      </c>
      <c r="C169">
        <f>+SUMIFS(Ventas2020!$I:$I,Ventas2020!$B:$B,'Tendencia Diaria'!B169)</f>
        <v>2648.2</v>
      </c>
      <c r="D169">
        <f>+SUMIFS(Ventas2020!$N:$N,Ventas2020!$B:$B,'Tendencia Diaria'!B169)</f>
        <v>656.81599999999992</v>
      </c>
      <c r="E169" s="23">
        <f t="shared" si="10"/>
        <v>0.24802356317498678</v>
      </c>
    </row>
    <row r="170" spans="1:5" x14ac:dyDescent="0.25">
      <c r="A170" s="63"/>
      <c r="B170" s="48">
        <v>43994</v>
      </c>
      <c r="C170">
        <f>+SUMIFS(Ventas2020!$I:$I,Ventas2020!$B:$B,'Tendencia Diaria'!B170)</f>
        <v>3578.8705882352942</v>
      </c>
      <c r="D170">
        <f>+SUMIFS(Ventas2020!$N:$N,Ventas2020!$B:$B,'Tendencia Diaria'!B170)</f>
        <v>434.3235294117647</v>
      </c>
      <c r="E170" s="23">
        <f t="shared" si="10"/>
        <v>0.12135770732797727</v>
      </c>
    </row>
    <row r="171" spans="1:5" x14ac:dyDescent="0.25">
      <c r="A171" s="63"/>
      <c r="B171" s="48">
        <v>43995</v>
      </c>
      <c r="C171">
        <f>+SUMIFS(Ventas2020!$I:$I,Ventas2020!$B:$B,'Tendencia Diaria'!B171)</f>
        <v>10690</v>
      </c>
      <c r="D171">
        <f>+SUMIFS(Ventas2020!$N:$N,Ventas2020!$B:$B,'Tendencia Diaria'!B171)</f>
        <v>1535.6666666666665</v>
      </c>
      <c r="E171" s="23">
        <f t="shared" si="10"/>
        <v>0.14365450576863112</v>
      </c>
    </row>
    <row r="172" spans="1:5" x14ac:dyDescent="0.25">
      <c r="A172" s="63"/>
      <c r="B172" s="48">
        <v>43996</v>
      </c>
      <c r="C172">
        <f>+SUMIFS(Ventas2020!$I:$I,Ventas2020!$B:$B,'Tendencia Diaria'!B172)</f>
        <v>0</v>
      </c>
      <c r="D172">
        <f>+SUMIFS(Ventas2020!$N:$N,Ventas2020!$B:$B,'Tendencia Diaria'!B172)</f>
        <v>0</v>
      </c>
      <c r="E172" s="23" t="e">
        <f t="shared" si="10"/>
        <v>#DIV/0!</v>
      </c>
    </row>
    <row r="173" spans="1:5" x14ac:dyDescent="0.25">
      <c r="A173" s="63"/>
      <c r="B173" s="48">
        <v>43997</v>
      </c>
      <c r="C173">
        <f>+SUMIFS(Ventas2020!$I:$I,Ventas2020!$B:$B,'Tendencia Diaria'!B173)</f>
        <v>21485.294117647059</v>
      </c>
      <c r="D173">
        <f>+SUMIFS(Ventas2020!$N:$N,Ventas2020!$B:$B,'Tendencia Diaria'!B173)</f>
        <v>3158.7647058823532</v>
      </c>
      <c r="E173" s="23">
        <f t="shared" si="10"/>
        <v>0.1470198494182067</v>
      </c>
    </row>
    <row r="174" spans="1:5" x14ac:dyDescent="0.25">
      <c r="A174" s="63"/>
      <c r="B174" s="48">
        <v>43998</v>
      </c>
      <c r="C174">
        <f>+SUMIFS(Ventas2020!$I:$I,Ventas2020!$B:$B,'Tendencia Diaria'!B174)</f>
        <v>17134.989999999998</v>
      </c>
      <c r="D174">
        <f>+SUMIFS(Ventas2020!$N:$N,Ventas2020!$B:$B,'Tendencia Diaria'!B174)</f>
        <v>2643.6660000000002</v>
      </c>
      <c r="E174" s="23">
        <f t="shared" si="10"/>
        <v>0.1542846537990393</v>
      </c>
    </row>
    <row r="175" spans="1:5" x14ac:dyDescent="0.25">
      <c r="A175" s="63"/>
      <c r="B175" s="48">
        <v>43999</v>
      </c>
      <c r="C175">
        <f>+SUMIFS(Ventas2020!$I:$I,Ventas2020!$B:$B,'Tendencia Diaria'!B175)</f>
        <v>4030</v>
      </c>
      <c r="D175">
        <f>+SUMIFS(Ventas2020!$N:$N,Ventas2020!$B:$B,'Tendencia Diaria'!B175)</f>
        <v>920</v>
      </c>
      <c r="E175" s="23">
        <f t="shared" si="10"/>
        <v>0.22828784119106699</v>
      </c>
    </row>
    <row r="176" spans="1:5" x14ac:dyDescent="0.25">
      <c r="A176" s="63"/>
      <c r="B176" s="48">
        <v>44000</v>
      </c>
      <c r="C176">
        <f>+SUMIFS(Ventas2020!$I:$I,Ventas2020!$B:$B,'Tendencia Diaria'!B176)</f>
        <v>1455</v>
      </c>
      <c r="D176">
        <f>+SUMIFS(Ventas2020!$N:$N,Ventas2020!$B:$B,'Tendencia Diaria'!B176)</f>
        <v>420.625</v>
      </c>
      <c r="E176" s="23">
        <f t="shared" si="10"/>
        <v>0.28908934707903783</v>
      </c>
    </row>
    <row r="177" spans="1:5" x14ac:dyDescent="0.25">
      <c r="A177" s="63"/>
      <c r="B177" s="48">
        <v>44001</v>
      </c>
      <c r="C177">
        <f>+SUMIFS(Ventas2020!$I:$I,Ventas2020!$B:$B,'Tendencia Diaria'!B177)</f>
        <v>9003.6323529411766</v>
      </c>
      <c r="D177">
        <f>+SUMIFS(Ventas2020!$N:$N,Ventas2020!$B:$B,'Tendencia Diaria'!B177)</f>
        <v>1084.3441176470585</v>
      </c>
      <c r="E177" s="23">
        <f t="shared" si="10"/>
        <v>0.12043407317634873</v>
      </c>
    </row>
    <row r="178" spans="1:5" x14ac:dyDescent="0.25">
      <c r="A178" s="63"/>
      <c r="B178" s="48">
        <v>44002</v>
      </c>
      <c r="C178">
        <f>+SUMIFS(Ventas2020!$I:$I,Ventas2020!$B:$B,'Tendencia Diaria'!B178)</f>
        <v>9180.5882352941189</v>
      </c>
      <c r="D178">
        <f>+SUMIFS(Ventas2020!$N:$N,Ventas2020!$B:$B,'Tendencia Diaria'!B178)</f>
        <v>1357.3094117647058</v>
      </c>
      <c r="E178" s="23">
        <f t="shared" si="10"/>
        <v>0.14784558211059137</v>
      </c>
    </row>
    <row r="179" spans="1:5" x14ac:dyDescent="0.25">
      <c r="A179" s="63"/>
      <c r="B179" s="48">
        <v>44003</v>
      </c>
      <c r="C179">
        <f>+SUMIFS(Ventas2020!$I:$I,Ventas2020!$B:$B,'Tendencia Diaria'!B179)</f>
        <v>0</v>
      </c>
      <c r="D179">
        <f>+SUMIFS(Ventas2020!$N:$N,Ventas2020!$B:$B,'Tendencia Diaria'!B179)</f>
        <v>0</v>
      </c>
      <c r="E179" s="23" t="e">
        <f t="shared" si="10"/>
        <v>#DIV/0!</v>
      </c>
    </row>
    <row r="180" spans="1:5" x14ac:dyDescent="0.25">
      <c r="A180" s="63"/>
      <c r="B180" s="48">
        <v>44004</v>
      </c>
      <c r="C180">
        <f>+SUMIFS(Ventas2020!$I:$I,Ventas2020!$B:$B,'Tendencia Diaria'!B180)</f>
        <v>14756</v>
      </c>
      <c r="D180">
        <f>+SUMIFS(Ventas2020!$N:$N,Ventas2020!$B:$B,'Tendencia Diaria'!B180)</f>
        <v>1560.2</v>
      </c>
      <c r="E180" s="23">
        <f t="shared" si="10"/>
        <v>0.10573326104635403</v>
      </c>
    </row>
    <row r="181" spans="1:5" x14ac:dyDescent="0.25">
      <c r="A181" s="63"/>
      <c r="B181" s="48">
        <v>44005</v>
      </c>
      <c r="C181">
        <f>+SUMIFS(Ventas2020!$I:$I,Ventas2020!$B:$B,'Tendencia Diaria'!B181)</f>
        <v>9013.1529411764714</v>
      </c>
      <c r="D181">
        <f>+SUMIFS(Ventas2020!$N:$N,Ventas2020!$B:$B,'Tendencia Diaria'!B181)</f>
        <v>1274.9976470588235</v>
      </c>
      <c r="E181" s="23">
        <f t="shared" si="10"/>
        <v>0.14145967070346865</v>
      </c>
    </row>
    <row r="182" spans="1:5" x14ac:dyDescent="0.25">
      <c r="A182" s="63"/>
      <c r="B182" s="48">
        <v>44006</v>
      </c>
      <c r="C182">
        <f>+SUMIFS(Ventas2020!$I:$I,Ventas2020!$B:$B,'Tendencia Diaria'!B182)</f>
        <v>2263.4296028880867</v>
      </c>
      <c r="D182">
        <f>+SUMIFS(Ventas2020!$N:$N,Ventas2020!$B:$B,'Tendencia Diaria'!B182)</f>
        <v>805.96570397111918</v>
      </c>
      <c r="E182" s="23">
        <f t="shared" si="10"/>
        <v>0.35608163070003351</v>
      </c>
    </row>
    <row r="183" spans="1:5" x14ac:dyDescent="0.25">
      <c r="A183" s="63"/>
      <c r="B183" s="48">
        <v>44007</v>
      </c>
      <c r="C183">
        <f>+SUMIFS(Ventas2020!$I:$I,Ventas2020!$B:$B,'Tendencia Diaria'!B183)</f>
        <v>6351.666666666667</v>
      </c>
      <c r="D183">
        <f>+SUMIFS(Ventas2020!$N:$N,Ventas2020!$B:$B,'Tendencia Diaria'!B183)</f>
        <v>799.77777777777783</v>
      </c>
      <c r="E183" s="23">
        <f t="shared" si="10"/>
        <v>0.12591620746960552</v>
      </c>
    </row>
    <row r="184" spans="1:5" x14ac:dyDescent="0.25">
      <c r="A184" s="63"/>
      <c r="B184" s="48">
        <v>44008</v>
      </c>
      <c r="C184">
        <f>+SUMIFS(Ventas2020!$I:$I,Ventas2020!$B:$B,'Tendencia Diaria'!B184)</f>
        <v>3450</v>
      </c>
      <c r="D184">
        <f>+SUMIFS(Ventas2020!$N:$N,Ventas2020!$B:$B,'Tendencia Diaria'!B184)</f>
        <v>685.33333333333337</v>
      </c>
      <c r="E184" s="23">
        <f t="shared" si="10"/>
        <v>0.19864734299516909</v>
      </c>
    </row>
    <row r="185" spans="1:5" x14ac:dyDescent="0.25">
      <c r="A185" s="63"/>
      <c r="B185" s="48">
        <v>44009</v>
      </c>
      <c r="C185">
        <f>+SUMIFS(Ventas2020!$I:$I,Ventas2020!$B:$B,'Tendencia Diaria'!B185)</f>
        <v>26028.400000000001</v>
      </c>
      <c r="D185">
        <f>+SUMIFS(Ventas2020!$N:$N,Ventas2020!$B:$B,'Tendencia Diaria'!B185)</f>
        <v>5944.1859999999997</v>
      </c>
      <c r="E185" s="23">
        <f t="shared" si="10"/>
        <v>0.22837308478431251</v>
      </c>
    </row>
    <row r="186" spans="1:5" x14ac:dyDescent="0.25">
      <c r="A186" s="63"/>
      <c r="B186" s="48">
        <v>44010</v>
      </c>
      <c r="C186">
        <f>+SUMIFS(Ventas2020!$I:$I,Ventas2020!$B:$B,'Tendencia Diaria'!B186)</f>
        <v>0</v>
      </c>
      <c r="D186">
        <f>+SUMIFS(Ventas2020!$N:$N,Ventas2020!$B:$B,'Tendencia Diaria'!B186)</f>
        <v>0</v>
      </c>
      <c r="E186" s="23" t="e">
        <f t="shared" si="10"/>
        <v>#DIV/0!</v>
      </c>
    </row>
    <row r="187" spans="1:5" x14ac:dyDescent="0.25">
      <c r="A187" s="63"/>
      <c r="B187" s="48">
        <v>44011</v>
      </c>
      <c r="C187">
        <f>+SUMIFS(Ventas2020!$I:$I,Ventas2020!$B:$B,'Tendencia Diaria'!B187)</f>
        <v>14571.666666666668</v>
      </c>
      <c r="D187">
        <f>+SUMIFS(Ventas2020!$N:$N,Ventas2020!$B:$B,'Tendencia Diaria'!B187)</f>
        <v>2325.4444444444443</v>
      </c>
      <c r="E187" s="23">
        <f t="shared" si="10"/>
        <v>0.15958671699264171</v>
      </c>
    </row>
    <row r="188" spans="1:5" ht="15.75" thickBot="1" x14ac:dyDescent="0.3">
      <c r="A188" s="63"/>
      <c r="B188" s="48">
        <v>44012</v>
      </c>
      <c r="C188">
        <f>+SUMIFS(Ventas2020!$I:$I,Ventas2020!$B:$B,'Tendencia Diaria'!B188)</f>
        <v>18346.017647058823</v>
      </c>
      <c r="D188">
        <f>+SUMIFS(Ventas2020!$N:$N,Ventas2020!$B:$B,'Tendencia Diaria'!B188)</f>
        <v>3043.1958823529412</v>
      </c>
      <c r="E188" s="23">
        <f t="shared" si="10"/>
        <v>0.16587773656921218</v>
      </c>
    </row>
    <row r="189" spans="1:5" ht="16.5" thickTop="1" thickBot="1" x14ac:dyDescent="0.3">
      <c r="A189" s="61" t="s">
        <v>5</v>
      </c>
      <c r="B189" s="61"/>
      <c r="C189" s="36">
        <f>SUM(C159:C188)</f>
        <v>317973.7905179208</v>
      </c>
      <c r="D189" s="36">
        <f>SUM(D159:D188)</f>
        <v>51402.520638611641</v>
      </c>
      <c r="E189" s="37">
        <f t="shared" ref="E189" si="11">+D189/C189</f>
        <v>0.16165647034897559</v>
      </c>
    </row>
    <row r="190" spans="1:5" ht="15.75" thickTop="1" x14ac:dyDescent="0.25">
      <c r="A190" s="65" t="s">
        <v>348</v>
      </c>
      <c r="B190" s="48">
        <v>44013</v>
      </c>
      <c r="C190">
        <f>+SUMIFS(Ventas2020!$I:$I,Ventas2020!$B:$B,'Tendencia Diaria'!B190)</f>
        <v>3495</v>
      </c>
      <c r="D190">
        <f>+SUMIFS(Ventas2020!$N:$N,Ventas2020!$B:$B,'Tendencia Diaria'!B190)</f>
        <v>1175.5</v>
      </c>
      <c r="E190" s="23"/>
    </row>
    <row r="191" spans="1:5" x14ac:dyDescent="0.25">
      <c r="A191" s="63"/>
      <c r="B191" s="48">
        <v>44014</v>
      </c>
      <c r="C191">
        <f>+SUMIFS(Ventas2020!$I:$I,Ventas2020!$B:$B,'Tendencia Diaria'!B191)</f>
        <v>23554</v>
      </c>
      <c r="D191">
        <f>+SUMIFS(Ventas2020!$N:$N,Ventas2020!$B:$B,'Tendencia Diaria'!B191)</f>
        <v>3426.6933333333336</v>
      </c>
      <c r="E191" s="23">
        <f t="shared" ref="E191:E253" si="12">+D191/C191</f>
        <v>0.14548243751945886</v>
      </c>
    </row>
    <row r="192" spans="1:5" x14ac:dyDescent="0.25">
      <c r="A192" s="63"/>
      <c r="B192" s="48">
        <v>44015</v>
      </c>
      <c r="C192">
        <f>+SUMIFS(Ventas2020!$I:$I,Ventas2020!$B:$B,'Tendencia Diaria'!B192)</f>
        <v>3929.5</v>
      </c>
      <c r="D192">
        <f>+SUMIFS(Ventas2020!$N:$N,Ventas2020!$B:$B,'Tendencia Diaria'!B192)</f>
        <v>920.73</v>
      </c>
      <c r="E192" s="23">
        <f t="shared" si="12"/>
        <v>0.23431225346736226</v>
      </c>
    </row>
    <row r="193" spans="1:5" x14ac:dyDescent="0.25">
      <c r="A193" s="63"/>
      <c r="B193" s="48">
        <v>44016</v>
      </c>
      <c r="C193">
        <f>+SUMIFS(Ventas2020!$I:$I,Ventas2020!$B:$B,'Tendencia Diaria'!B193)</f>
        <v>19530</v>
      </c>
      <c r="D193">
        <f>+SUMIFS(Ventas2020!$N:$N,Ventas2020!$B:$B,'Tendencia Diaria'!B193)</f>
        <v>4019</v>
      </c>
      <c r="E193" s="23">
        <f t="shared" si="12"/>
        <v>0.20578597030209933</v>
      </c>
    </row>
    <row r="194" spans="1:5" x14ac:dyDescent="0.25">
      <c r="A194" s="63"/>
      <c r="B194" s="48">
        <v>44017</v>
      </c>
      <c r="C194">
        <f>+SUMIFS(Ventas2020!$I:$I,Ventas2020!$B:$B,'Tendencia Diaria'!B194)</f>
        <v>0</v>
      </c>
      <c r="D194">
        <f>+SUMIFS(Ventas2020!$N:$N,Ventas2020!$B:$B,'Tendencia Diaria'!B194)</f>
        <v>0</v>
      </c>
      <c r="E194" s="23" t="e">
        <f t="shared" si="12"/>
        <v>#DIV/0!</v>
      </c>
    </row>
    <row r="195" spans="1:5" x14ac:dyDescent="0.25">
      <c r="A195" s="63"/>
      <c r="B195" s="48">
        <v>44018</v>
      </c>
      <c r="C195">
        <f>+SUMIFS(Ventas2020!$I:$I,Ventas2020!$B:$B,'Tendencia Diaria'!B195)</f>
        <v>1873.3333333333335</v>
      </c>
      <c r="D195">
        <f>+SUMIFS(Ventas2020!$N:$N,Ventas2020!$B:$B,'Tendencia Diaria'!B195)</f>
        <v>323.77777777777777</v>
      </c>
      <c r="E195" s="23">
        <f t="shared" si="12"/>
        <v>0.17283511269276391</v>
      </c>
    </row>
    <row r="196" spans="1:5" x14ac:dyDescent="0.25">
      <c r="A196" s="63"/>
      <c r="B196" s="48">
        <v>44019</v>
      </c>
      <c r="C196">
        <f>+SUMIFS(Ventas2020!$I:$I,Ventas2020!$B:$B,'Tendencia Diaria'!B196)</f>
        <v>10292.200000000001</v>
      </c>
      <c r="D196">
        <f>+SUMIFS(Ventas2020!$N:$N,Ventas2020!$B:$B,'Tendencia Diaria'!B196)</f>
        <v>1202.9000000000001</v>
      </c>
      <c r="E196" s="23">
        <f t="shared" si="12"/>
        <v>0.11687491498416276</v>
      </c>
    </row>
    <row r="197" spans="1:5" x14ac:dyDescent="0.25">
      <c r="A197" s="63"/>
      <c r="B197" s="48">
        <v>44020</v>
      </c>
      <c r="C197">
        <f>+SUMIFS(Ventas2020!$I:$I,Ventas2020!$B:$B,'Tendencia Diaria'!B197)</f>
        <v>13070</v>
      </c>
      <c r="D197">
        <f>+SUMIFS(Ventas2020!$N:$N,Ventas2020!$B:$B,'Tendencia Diaria'!B197)</f>
        <v>2307</v>
      </c>
      <c r="E197" s="23">
        <f t="shared" si="12"/>
        <v>0.17651109410864577</v>
      </c>
    </row>
    <row r="198" spans="1:5" x14ac:dyDescent="0.25">
      <c r="A198" s="63"/>
      <c r="B198" s="48">
        <v>44021</v>
      </c>
      <c r="C198">
        <f>+SUMIFS(Ventas2020!$I:$I,Ventas2020!$B:$B,'Tendencia Diaria'!B198)</f>
        <v>21984.933333333331</v>
      </c>
      <c r="D198">
        <f>+SUMIFS(Ventas2020!$N:$N,Ventas2020!$B:$B,'Tendencia Diaria'!B198)</f>
        <v>2441.83</v>
      </c>
      <c r="E198" s="23">
        <f t="shared" si="12"/>
        <v>0.11106833771006812</v>
      </c>
    </row>
    <row r="199" spans="1:5" x14ac:dyDescent="0.25">
      <c r="A199" s="63"/>
      <c r="B199" s="48">
        <v>44022</v>
      </c>
      <c r="C199">
        <f>+SUMIFS(Ventas2020!$I:$I,Ventas2020!$B:$B,'Tendencia Diaria'!B199)</f>
        <v>34694.23529411765</v>
      </c>
      <c r="D199">
        <f>+SUMIFS(Ventas2020!$N:$N,Ventas2020!$B:$B,'Tendencia Diaria'!B199)</f>
        <v>4453.3617647058827</v>
      </c>
      <c r="E199" s="23">
        <f t="shared" si="12"/>
        <v>0.12836028022963639</v>
      </c>
    </row>
    <row r="200" spans="1:5" x14ac:dyDescent="0.25">
      <c r="A200" s="63"/>
      <c r="B200" s="48">
        <v>44023</v>
      </c>
      <c r="C200">
        <f>+SUMIFS(Ventas2020!$I:$I,Ventas2020!$B:$B,'Tendencia Diaria'!B200)</f>
        <v>13577.533333333333</v>
      </c>
      <c r="D200">
        <f>+SUMIFS(Ventas2020!$N:$N,Ventas2020!$B:$B,'Tendencia Diaria'!B200)</f>
        <v>1854.8222222222221</v>
      </c>
      <c r="E200" s="23">
        <f t="shared" si="12"/>
        <v>0.13660966073038958</v>
      </c>
    </row>
    <row r="201" spans="1:5" x14ac:dyDescent="0.25">
      <c r="A201" s="63"/>
      <c r="B201" s="48">
        <v>44024</v>
      </c>
      <c r="C201">
        <f>+SUMIFS(Ventas2020!$I:$I,Ventas2020!$B:$B,'Tendencia Diaria'!B201)</f>
        <v>0</v>
      </c>
      <c r="D201">
        <f>+SUMIFS(Ventas2020!$N:$N,Ventas2020!$B:$B,'Tendencia Diaria'!B201)</f>
        <v>0</v>
      </c>
      <c r="E201" s="23" t="e">
        <f t="shared" si="12"/>
        <v>#DIV/0!</v>
      </c>
    </row>
    <row r="202" spans="1:5" x14ac:dyDescent="0.25">
      <c r="A202" s="63"/>
      <c r="B202" s="48">
        <v>44025</v>
      </c>
      <c r="C202">
        <f>+SUMIFS(Ventas2020!$I:$I,Ventas2020!$B:$B,'Tendencia Diaria'!B202)</f>
        <v>17399.125</v>
      </c>
      <c r="D202">
        <f>+SUMIFS(Ventas2020!$N:$N,Ventas2020!$B:$B,'Tendencia Diaria'!B202)</f>
        <v>2046.14</v>
      </c>
      <c r="E202" s="23">
        <f t="shared" si="12"/>
        <v>0.11760016667504831</v>
      </c>
    </row>
    <row r="203" spans="1:5" x14ac:dyDescent="0.25">
      <c r="A203" s="63"/>
      <c r="B203" s="48">
        <v>44026</v>
      </c>
      <c r="C203">
        <f>+SUMIFS(Ventas2020!$I:$I,Ventas2020!$B:$B,'Tendencia Diaria'!B203)</f>
        <v>42393.052287581697</v>
      </c>
      <c r="D203">
        <f>+SUMIFS(Ventas2020!$N:$N,Ventas2020!$B:$B,'Tendencia Diaria'!B203)</f>
        <v>3478.7797254901957</v>
      </c>
      <c r="E203" s="23">
        <f t="shared" si="12"/>
        <v>8.206013810685775E-2</v>
      </c>
    </row>
    <row r="204" spans="1:5" x14ac:dyDescent="0.25">
      <c r="A204" s="63"/>
      <c r="B204" s="48">
        <v>44027</v>
      </c>
      <c r="C204">
        <f>+SUMIFS(Ventas2020!$I:$I,Ventas2020!$B:$B,'Tendencia Diaria'!B204)</f>
        <v>37377</v>
      </c>
      <c r="D204">
        <f>+SUMIFS(Ventas2020!$N:$N,Ventas2020!$B:$B,'Tendencia Diaria'!B204)</f>
        <v>5439.576</v>
      </c>
      <c r="E204" s="23">
        <f t="shared" si="12"/>
        <v>0.14553270727987799</v>
      </c>
    </row>
    <row r="205" spans="1:5" x14ac:dyDescent="0.25">
      <c r="A205" s="63"/>
      <c r="B205" s="48">
        <v>44028</v>
      </c>
      <c r="C205">
        <f>+SUMIFS(Ventas2020!$I:$I,Ventas2020!$B:$B,'Tendencia Diaria'!B205)</f>
        <v>17057.2</v>
      </c>
      <c r="D205">
        <f>+SUMIFS(Ventas2020!$N:$N,Ventas2020!$B:$B,'Tendencia Diaria'!B205)</f>
        <v>3781.36</v>
      </c>
      <c r="E205" s="23">
        <f t="shared" si="12"/>
        <v>0.2216870295241892</v>
      </c>
    </row>
    <row r="206" spans="1:5" x14ac:dyDescent="0.25">
      <c r="A206" s="63"/>
      <c r="B206" s="48">
        <v>44029</v>
      </c>
      <c r="C206">
        <f>+SUMIFS(Ventas2020!$I:$I,Ventas2020!$B:$B,'Tendencia Diaria'!B206)</f>
        <v>5034.6000000000004</v>
      </c>
      <c r="D206">
        <f>+SUMIFS(Ventas2020!$N:$N,Ventas2020!$B:$B,'Tendencia Diaria'!B206)</f>
        <v>883.54</v>
      </c>
      <c r="E206" s="23">
        <f t="shared" si="12"/>
        <v>0.17549358439597981</v>
      </c>
    </row>
    <row r="207" spans="1:5" x14ac:dyDescent="0.25">
      <c r="A207" s="63"/>
      <c r="B207" s="48">
        <v>44030</v>
      </c>
      <c r="C207">
        <f>+SUMIFS(Ventas2020!$I:$I,Ventas2020!$B:$B,'Tendencia Diaria'!B207)</f>
        <v>39557</v>
      </c>
      <c r="D207">
        <f>+SUMIFS(Ventas2020!$N:$N,Ventas2020!$B:$B,'Tendencia Diaria'!B207)</f>
        <v>6101.7280000000001</v>
      </c>
      <c r="E207" s="23">
        <f t="shared" si="12"/>
        <v>0.15425153575852568</v>
      </c>
    </row>
    <row r="208" spans="1:5" x14ac:dyDescent="0.25">
      <c r="A208" s="63"/>
      <c r="B208" s="48">
        <v>44031</v>
      </c>
      <c r="C208">
        <f>+SUMIFS(Ventas2020!$I:$I,Ventas2020!$B:$B,'Tendencia Diaria'!B208)</f>
        <v>0</v>
      </c>
      <c r="D208">
        <f>+SUMIFS(Ventas2020!$N:$N,Ventas2020!$B:$B,'Tendencia Diaria'!B208)</f>
        <v>0</v>
      </c>
      <c r="E208" s="23" t="e">
        <f t="shared" si="12"/>
        <v>#DIV/0!</v>
      </c>
    </row>
    <row r="209" spans="1:5" x14ac:dyDescent="0.25">
      <c r="A209" s="63"/>
      <c r="B209" s="48">
        <v>44032</v>
      </c>
      <c r="C209">
        <f>+SUMIFS(Ventas2020!$I:$I,Ventas2020!$B:$B,'Tendencia Diaria'!B209)</f>
        <v>0</v>
      </c>
      <c r="D209">
        <f>+SUMIFS(Ventas2020!$N:$N,Ventas2020!$B:$B,'Tendencia Diaria'!B209)</f>
        <v>0</v>
      </c>
      <c r="E209" s="23" t="e">
        <f t="shared" si="12"/>
        <v>#DIV/0!</v>
      </c>
    </row>
    <row r="210" spans="1:5" x14ac:dyDescent="0.25">
      <c r="A210" s="63"/>
      <c r="B210" s="48">
        <v>44033</v>
      </c>
      <c r="C210">
        <f>+SUMIFS(Ventas2020!$I:$I,Ventas2020!$B:$B,'Tendencia Diaria'!B210)</f>
        <v>78381.533333333326</v>
      </c>
      <c r="D210">
        <f>+SUMIFS(Ventas2020!$N:$N,Ventas2020!$B:$B,'Tendencia Diaria'!B210)</f>
        <v>10973.72311111111</v>
      </c>
      <c r="E210" s="23">
        <f t="shared" si="12"/>
        <v>0.14000393516726872</v>
      </c>
    </row>
    <row r="211" spans="1:5" x14ac:dyDescent="0.25">
      <c r="A211" s="63"/>
      <c r="B211" s="48">
        <v>44034</v>
      </c>
      <c r="C211">
        <f>+SUMIFS(Ventas2020!$I:$I,Ventas2020!$B:$B,'Tendencia Diaria'!B211)</f>
        <v>8163.1372549019607</v>
      </c>
      <c r="D211">
        <f>+SUMIFS(Ventas2020!$N:$N,Ventas2020!$B:$B,'Tendencia Diaria'!B211)</f>
        <v>1088.07508496732</v>
      </c>
      <c r="E211" s="23">
        <f t="shared" si="12"/>
        <v>0.13329128875224183</v>
      </c>
    </row>
    <row r="212" spans="1:5" x14ac:dyDescent="0.25">
      <c r="A212" s="63"/>
      <c r="B212" s="48">
        <v>44035</v>
      </c>
      <c r="C212">
        <f>+SUMIFS(Ventas2020!$I:$I,Ventas2020!$B:$B,'Tendencia Diaria'!B212)</f>
        <v>5175.9150326797389</v>
      </c>
      <c r="D212">
        <f>+SUMIFS(Ventas2020!$N:$N,Ventas2020!$B:$B,'Tendencia Diaria'!B212)</f>
        <v>994.57819607843135</v>
      </c>
      <c r="E212" s="23">
        <f t="shared" si="12"/>
        <v>0.1921550469431694</v>
      </c>
    </row>
    <row r="213" spans="1:5" x14ac:dyDescent="0.25">
      <c r="A213" s="63"/>
      <c r="B213" s="48">
        <v>44036</v>
      </c>
      <c r="C213">
        <f>+SUMIFS(Ventas2020!$I:$I,Ventas2020!$B:$B,'Tendencia Diaria'!B213)</f>
        <v>9910.373529411765</v>
      </c>
      <c r="D213">
        <f>+SUMIFS(Ventas2020!$N:$N,Ventas2020!$B:$B,'Tendencia Diaria'!B213)</f>
        <v>1765.4721764705882</v>
      </c>
      <c r="E213" s="23">
        <f t="shared" si="12"/>
        <v>0.17814385817356559</v>
      </c>
    </row>
    <row r="214" spans="1:5" x14ac:dyDescent="0.25">
      <c r="A214" s="63"/>
      <c r="B214" s="48">
        <v>44037</v>
      </c>
      <c r="C214">
        <f>+SUMIFS(Ventas2020!$I:$I,Ventas2020!$B:$B,'Tendencia Diaria'!B214)</f>
        <v>10201.985294117647</v>
      </c>
      <c r="D214">
        <f>+SUMIFS(Ventas2020!$N:$N,Ventas2020!$B:$B,'Tendencia Diaria'!B214)</f>
        <v>1498.3867647058823</v>
      </c>
      <c r="E214" s="23">
        <f t="shared" si="12"/>
        <v>0.14687207651336606</v>
      </c>
    </row>
    <row r="215" spans="1:5" x14ac:dyDescent="0.25">
      <c r="A215" s="63"/>
      <c r="B215" s="48">
        <v>44038</v>
      </c>
      <c r="C215">
        <f>+SUMIFS(Ventas2020!$I:$I,Ventas2020!$B:$B,'Tendencia Diaria'!B215)</f>
        <v>0</v>
      </c>
      <c r="D215">
        <f>+SUMIFS(Ventas2020!$N:$N,Ventas2020!$B:$B,'Tendencia Diaria'!B215)</f>
        <v>0</v>
      </c>
      <c r="E215" s="23" t="e">
        <f t="shared" si="12"/>
        <v>#DIV/0!</v>
      </c>
    </row>
    <row r="216" spans="1:5" x14ac:dyDescent="0.25">
      <c r="A216" s="63"/>
      <c r="B216" s="48">
        <v>44039</v>
      </c>
      <c r="C216">
        <f>+SUMIFS(Ventas2020!$I:$I,Ventas2020!$B:$B,'Tendencia Diaria'!B216)</f>
        <v>41468.800000000003</v>
      </c>
      <c r="D216">
        <f>+SUMIFS(Ventas2020!$N:$N,Ventas2020!$B:$B,'Tendencia Diaria'!B216)</f>
        <v>9709.4</v>
      </c>
      <c r="E216" s="23">
        <f t="shared" si="12"/>
        <v>0.23413747202716256</v>
      </c>
    </row>
    <row r="217" spans="1:5" x14ac:dyDescent="0.25">
      <c r="A217" s="63"/>
      <c r="B217" s="48">
        <v>44040</v>
      </c>
      <c r="C217">
        <f>+SUMIFS(Ventas2020!$I:$I,Ventas2020!$B:$B,'Tendencia Diaria'!B217)</f>
        <v>2078.4</v>
      </c>
      <c r="D217">
        <f>+SUMIFS(Ventas2020!$N:$N,Ventas2020!$B:$B,'Tendencia Diaria'!B217)</f>
        <v>326.76</v>
      </c>
      <c r="E217" s="23">
        <f t="shared" si="12"/>
        <v>0.15721709006928405</v>
      </c>
    </row>
    <row r="218" spans="1:5" x14ac:dyDescent="0.25">
      <c r="A218" s="63"/>
      <c r="B218" s="48">
        <v>44041</v>
      </c>
      <c r="C218">
        <f>+SUMIFS(Ventas2020!$I:$I,Ventas2020!$B:$B,'Tendencia Diaria'!B218)</f>
        <v>14749.4</v>
      </c>
      <c r="D218">
        <f>+SUMIFS(Ventas2020!$N:$N,Ventas2020!$B:$B,'Tendencia Diaria'!B218)</f>
        <v>2658.04</v>
      </c>
      <c r="E218" s="23">
        <f t="shared" si="12"/>
        <v>0.18021343241080992</v>
      </c>
    </row>
    <row r="219" spans="1:5" x14ac:dyDescent="0.25">
      <c r="A219" s="63"/>
      <c r="B219" s="48">
        <v>44042</v>
      </c>
      <c r="C219">
        <f>+SUMIFS(Ventas2020!$I:$I,Ventas2020!$B:$B,'Tendencia Diaria'!B219)</f>
        <v>8361.0941176470587</v>
      </c>
      <c r="D219">
        <f>+SUMIFS(Ventas2020!$N:$N,Ventas2020!$B:$B,'Tendencia Diaria'!B219)</f>
        <v>1587.7047058823532</v>
      </c>
      <c r="E219" s="23">
        <f t="shared" si="12"/>
        <v>0.18989197867433621</v>
      </c>
    </row>
    <row r="220" spans="1:5" ht="15.75" thickBot="1" x14ac:dyDescent="0.3">
      <c r="A220" s="64"/>
      <c r="B220" s="48">
        <v>44043</v>
      </c>
      <c r="C220">
        <f>+SUMIFS(Ventas2020!$I:$I,Ventas2020!$B:$B,'Tendencia Diaria'!B220)</f>
        <v>9530.6</v>
      </c>
      <c r="D220">
        <f>+SUMIFS(Ventas2020!$N:$N,Ventas2020!$B:$B,'Tendencia Diaria'!B220)</f>
        <v>1583.76</v>
      </c>
      <c r="E220" s="23">
        <f t="shared" si="12"/>
        <v>0.16617631628648774</v>
      </c>
    </row>
    <row r="221" spans="1:5" ht="16.5" thickTop="1" thickBot="1" x14ac:dyDescent="0.3">
      <c r="A221" s="61" t="s">
        <v>5</v>
      </c>
      <c r="B221" s="61"/>
      <c r="C221" s="36">
        <f>SUM(C190:C220)</f>
        <v>492839.95114379085</v>
      </c>
      <c r="D221" s="36">
        <f>SUM(D190:D220)</f>
        <v>76042.63886274508</v>
      </c>
      <c r="E221" s="37">
        <f t="shared" si="12"/>
        <v>0.15429479425574999</v>
      </c>
    </row>
    <row r="222" spans="1:5" ht="15.75" thickTop="1" x14ac:dyDescent="0.25">
      <c r="A222" s="63" t="s">
        <v>349</v>
      </c>
      <c r="B222" s="48">
        <v>44044</v>
      </c>
      <c r="C222">
        <f>+SUMIFS(Ventas2020!$I:$I,Ventas2020!$B:$B,'Tendencia Diaria'!B222)</f>
        <v>10348.375</v>
      </c>
      <c r="D222">
        <f>+SUMIFS(Ventas2020!$N:$N,Ventas2020!$B:$B,'Tendencia Diaria'!B222)</f>
        <v>1655.9625000000001</v>
      </c>
      <c r="E222" s="23">
        <f t="shared" si="12"/>
        <v>0.16002150096029572</v>
      </c>
    </row>
    <row r="223" spans="1:5" x14ac:dyDescent="0.25">
      <c r="A223" s="63"/>
      <c r="B223" s="48">
        <v>44045</v>
      </c>
      <c r="C223">
        <f>+SUMIFS(Ventas2020!$I:$I,Ventas2020!$B:$B,'Tendencia Diaria'!B223)</f>
        <v>0</v>
      </c>
      <c r="D223">
        <f>+SUMIFS(Ventas2020!$N:$N,Ventas2020!$B:$B,'Tendencia Diaria'!B223)</f>
        <v>0</v>
      </c>
      <c r="E223" s="23" t="e">
        <f t="shared" si="12"/>
        <v>#DIV/0!</v>
      </c>
    </row>
    <row r="224" spans="1:5" x14ac:dyDescent="0.25">
      <c r="A224" s="63"/>
      <c r="B224" s="48">
        <v>44046</v>
      </c>
      <c r="C224">
        <f>+SUMIFS(Ventas2020!$I:$I,Ventas2020!$B:$B,'Tendencia Diaria'!B224)</f>
        <v>29132.2</v>
      </c>
      <c r="D224">
        <f>+SUMIFS(Ventas2020!$N:$N,Ventas2020!$B:$B,'Tendencia Diaria'!B224)</f>
        <v>4877.8200000000015</v>
      </c>
      <c r="E224" s="23">
        <f t="shared" si="12"/>
        <v>0.16743740603181365</v>
      </c>
    </row>
    <row r="225" spans="1:5" x14ac:dyDescent="0.25">
      <c r="A225" s="63"/>
      <c r="B225" s="48">
        <v>44047</v>
      </c>
      <c r="C225">
        <f>+SUMIFS(Ventas2020!$I:$I,Ventas2020!$B:$B,'Tendencia Diaria'!B225)</f>
        <v>17055</v>
      </c>
      <c r="D225">
        <f>+SUMIFS(Ventas2020!$N:$N,Ventas2020!$B:$B,'Tendencia Diaria'!B225)</f>
        <v>2622</v>
      </c>
      <c r="E225" s="23">
        <f t="shared" si="12"/>
        <v>0.15373790677220756</v>
      </c>
    </row>
    <row r="226" spans="1:5" x14ac:dyDescent="0.25">
      <c r="A226" s="63"/>
      <c r="B226" s="48">
        <v>44048</v>
      </c>
      <c r="C226">
        <f>+SUMIFS(Ventas2020!$I:$I,Ventas2020!$B:$B,'Tendencia Diaria'!B226)</f>
        <v>19280</v>
      </c>
      <c r="D226">
        <f>+SUMIFS(Ventas2020!$N:$N,Ventas2020!$B:$B,'Tendencia Diaria'!B226)</f>
        <v>3008</v>
      </c>
      <c r="E226" s="23">
        <f t="shared" si="12"/>
        <v>0.15601659751037344</v>
      </c>
    </row>
    <row r="227" spans="1:5" x14ac:dyDescent="0.25">
      <c r="A227" s="63"/>
      <c r="B227" s="48">
        <v>44049</v>
      </c>
      <c r="C227">
        <f>+SUMIFS(Ventas2020!$I:$I,Ventas2020!$B:$B,'Tendencia Diaria'!B227)</f>
        <v>21558.3</v>
      </c>
      <c r="D227">
        <f>+SUMIFS(Ventas2020!$N:$N,Ventas2020!$B:$B,'Tendencia Diaria'!B227)</f>
        <v>2240.9499999999994</v>
      </c>
      <c r="E227" s="23">
        <f t="shared" si="12"/>
        <v>0.10394836327539739</v>
      </c>
    </row>
    <row r="228" spans="1:5" x14ac:dyDescent="0.25">
      <c r="A228" s="63"/>
      <c r="B228" s="48">
        <v>44050</v>
      </c>
      <c r="C228">
        <f>+SUMIFS(Ventas2020!$I:$I,Ventas2020!$B:$B,'Tendencia Diaria'!B228)</f>
        <v>14150</v>
      </c>
      <c r="D228">
        <f>+SUMIFS(Ventas2020!$N:$N,Ventas2020!$B:$B,'Tendencia Diaria'!B228)</f>
        <v>2068</v>
      </c>
      <c r="E228" s="23">
        <f t="shared" si="12"/>
        <v>0.14614840989399294</v>
      </c>
    </row>
    <row r="229" spans="1:5" x14ac:dyDescent="0.25">
      <c r="A229" s="63"/>
      <c r="B229" s="48">
        <v>44051</v>
      </c>
      <c r="C229">
        <f>+SUMIFS(Ventas2020!$I:$I,Ventas2020!$B:$B,'Tendencia Diaria'!B229)</f>
        <v>18840.588235294119</v>
      </c>
      <c r="D229">
        <f>+SUMIFS(Ventas2020!$N:$N,Ventas2020!$B:$B,'Tendencia Diaria'!B229)</f>
        <v>1834.5294117647059</v>
      </c>
      <c r="E229" s="23">
        <f t="shared" si="12"/>
        <v>9.7371132411252295E-2</v>
      </c>
    </row>
    <row r="230" spans="1:5" x14ac:dyDescent="0.25">
      <c r="A230" s="63"/>
      <c r="B230" s="48">
        <v>44052</v>
      </c>
      <c r="C230">
        <f>+SUMIFS(Ventas2020!$I:$I,Ventas2020!$B:$B,'Tendencia Diaria'!B230)</f>
        <v>0</v>
      </c>
      <c r="D230">
        <f>+SUMIFS(Ventas2020!$N:$N,Ventas2020!$B:$B,'Tendencia Diaria'!B230)</f>
        <v>0</v>
      </c>
      <c r="E230" s="23" t="e">
        <f t="shared" si="12"/>
        <v>#DIV/0!</v>
      </c>
    </row>
    <row r="231" spans="1:5" x14ac:dyDescent="0.25">
      <c r="A231" s="63"/>
      <c r="B231" s="48">
        <v>44053</v>
      </c>
      <c r="C231">
        <f>+SUMIFS(Ventas2020!$I:$I,Ventas2020!$B:$B,'Tendencia Diaria'!B231)</f>
        <v>29980.294117647059</v>
      </c>
      <c r="D231">
        <f>+SUMIFS(Ventas2020!$N:$N,Ventas2020!$B:$B,'Tendencia Diaria'!B231)</f>
        <v>5821.1380392156861</v>
      </c>
      <c r="E231" s="23">
        <f t="shared" si="12"/>
        <v>0.19416547470724232</v>
      </c>
    </row>
    <row r="232" spans="1:5" x14ac:dyDescent="0.25">
      <c r="A232" s="63"/>
      <c r="B232" s="48">
        <v>44054</v>
      </c>
      <c r="C232">
        <f>+SUMIFS(Ventas2020!$I:$I,Ventas2020!$B:$B,'Tendencia Diaria'!B232)</f>
        <v>23887.4</v>
      </c>
      <c r="D232">
        <f>+SUMIFS(Ventas2020!$N:$N,Ventas2020!$B:$B,'Tendencia Diaria'!B232)</f>
        <v>4721.1099999999997</v>
      </c>
      <c r="E232" s="23">
        <f t="shared" si="12"/>
        <v>0.19764017850414861</v>
      </c>
    </row>
    <row r="233" spans="1:5" x14ac:dyDescent="0.25">
      <c r="A233" s="63"/>
      <c r="B233" s="48">
        <v>44055</v>
      </c>
      <c r="C233">
        <f>+SUMIFS(Ventas2020!$I:$I,Ventas2020!$B:$B,'Tendencia Diaria'!B233)</f>
        <v>2690.5333333333333</v>
      </c>
      <c r="D233">
        <f>+SUMIFS(Ventas2020!$N:$N,Ventas2020!$B:$B,'Tendencia Diaria'!B233)</f>
        <v>444.9255555555556</v>
      </c>
      <c r="E233" s="23">
        <f t="shared" si="12"/>
        <v>0.16536704825148257</v>
      </c>
    </row>
    <row r="234" spans="1:5" x14ac:dyDescent="0.25">
      <c r="A234" s="63"/>
      <c r="B234" s="48">
        <v>44056</v>
      </c>
      <c r="C234">
        <f>+SUMIFS(Ventas2020!$I:$I,Ventas2020!$B:$B,'Tendencia Diaria'!B234)</f>
        <v>9237.5</v>
      </c>
      <c r="D234">
        <f>+SUMIFS(Ventas2020!$N:$N,Ventas2020!$B:$B,'Tendencia Diaria'!B234)</f>
        <v>1255.5</v>
      </c>
      <c r="E234" s="23">
        <f t="shared" si="12"/>
        <v>0.13591339648173206</v>
      </c>
    </row>
    <row r="235" spans="1:5" x14ac:dyDescent="0.25">
      <c r="A235" s="63"/>
      <c r="B235" s="48">
        <v>44057</v>
      </c>
      <c r="C235">
        <f>+SUMIFS(Ventas2020!$I:$I,Ventas2020!$B:$B,'Tendencia Diaria'!B235)</f>
        <v>24260</v>
      </c>
      <c r="D235">
        <f>+SUMIFS(Ventas2020!$N:$N,Ventas2020!$B:$B,'Tendencia Diaria'!B235)</f>
        <v>2779.2</v>
      </c>
      <c r="E235" s="23">
        <f t="shared" si="12"/>
        <v>0.11455894476504533</v>
      </c>
    </row>
    <row r="236" spans="1:5" x14ac:dyDescent="0.25">
      <c r="A236" s="63"/>
      <c r="B236" s="48">
        <v>44058</v>
      </c>
      <c r="C236">
        <f>+SUMIFS(Ventas2020!$I:$I,Ventas2020!$B:$B,'Tendencia Diaria'!B236)</f>
        <v>9635.3549999999996</v>
      </c>
      <c r="D236">
        <f>+SUMIFS(Ventas2020!$N:$N,Ventas2020!$B:$B,'Tendencia Diaria'!B236)</f>
        <v>1462.0350000000001</v>
      </c>
      <c r="E236" s="23">
        <f t="shared" si="12"/>
        <v>0.15173649543789514</v>
      </c>
    </row>
    <row r="237" spans="1:5" x14ac:dyDescent="0.25">
      <c r="A237" s="63"/>
      <c r="B237" s="48">
        <v>44059</v>
      </c>
      <c r="C237">
        <f>+SUMIFS(Ventas2020!$I:$I,Ventas2020!$B:$B,'Tendencia Diaria'!B237)</f>
        <v>0</v>
      </c>
      <c r="D237">
        <f>+SUMIFS(Ventas2020!$N:$N,Ventas2020!$B:$B,'Tendencia Diaria'!B237)</f>
        <v>0</v>
      </c>
      <c r="E237" s="23" t="e">
        <f t="shared" si="12"/>
        <v>#DIV/0!</v>
      </c>
    </row>
    <row r="238" spans="1:5" x14ac:dyDescent="0.25">
      <c r="A238" s="63"/>
      <c r="B238" s="48">
        <v>44060</v>
      </c>
      <c r="C238">
        <f>+SUMIFS(Ventas2020!$I:$I,Ventas2020!$B:$B,'Tendencia Diaria'!B238)</f>
        <v>20939.578431372549</v>
      </c>
      <c r="D238">
        <f>+SUMIFS(Ventas2020!$N:$N,Ventas2020!$B:$B,'Tendencia Diaria'!B238)</f>
        <v>3501.7983660130717</v>
      </c>
      <c r="E238" s="23">
        <f t="shared" si="12"/>
        <v>0.1672334702195595</v>
      </c>
    </row>
    <row r="239" spans="1:5" x14ac:dyDescent="0.25">
      <c r="A239" s="63"/>
      <c r="B239" s="48">
        <v>44061</v>
      </c>
      <c r="C239">
        <f>+SUMIFS(Ventas2020!$I:$I,Ventas2020!$B:$B,'Tendencia Diaria'!B239)</f>
        <v>16457.729411764703</v>
      </c>
      <c r="D239">
        <f>+SUMIFS(Ventas2020!$N:$N,Ventas2020!$B:$B,'Tendencia Diaria'!B239)</f>
        <v>2243.4864705882346</v>
      </c>
      <c r="E239" s="23">
        <f t="shared" si="12"/>
        <v>0.13631810406267175</v>
      </c>
    </row>
    <row r="240" spans="1:5" x14ac:dyDescent="0.25">
      <c r="A240" s="63"/>
      <c r="B240" s="48">
        <v>44062</v>
      </c>
      <c r="C240">
        <f>+SUMIFS(Ventas2020!$I:$I,Ventas2020!$B:$B,'Tendencia Diaria'!B240)</f>
        <v>9323.0352941176461</v>
      </c>
      <c r="D240">
        <f>+SUMIFS(Ventas2020!$N:$N,Ventas2020!$B:$B,'Tendencia Diaria'!B240)</f>
        <v>1238.1117647058823</v>
      </c>
      <c r="E240" s="23">
        <f t="shared" si="12"/>
        <v>0.13280135981970023</v>
      </c>
    </row>
    <row r="241" spans="1:5" x14ac:dyDescent="0.25">
      <c r="A241" s="63"/>
      <c r="B241" s="48">
        <v>44063</v>
      </c>
      <c r="C241">
        <f>+SUMIFS(Ventas2020!$I:$I,Ventas2020!$B:$B,'Tendencia Diaria'!B241)</f>
        <v>17396.129081632651</v>
      </c>
      <c r="D241">
        <f>+SUMIFS(Ventas2020!$N:$N,Ventas2020!$B:$B,'Tendencia Diaria'!B241)</f>
        <v>3090.7420521541949</v>
      </c>
      <c r="E241" s="23">
        <f t="shared" si="12"/>
        <v>0.1776683788474237</v>
      </c>
    </row>
    <row r="242" spans="1:5" x14ac:dyDescent="0.25">
      <c r="A242" s="63"/>
      <c r="B242" s="48">
        <v>44064</v>
      </c>
      <c r="C242">
        <f>+SUMIFS(Ventas2020!$I:$I,Ventas2020!$B:$B,'Tendencia Diaria'!B242)</f>
        <v>5776.1111111111113</v>
      </c>
      <c r="D242">
        <f>+SUMIFS(Ventas2020!$N:$N,Ventas2020!$B:$B,'Tendencia Diaria'!B242)</f>
        <v>968.33333333333326</v>
      </c>
      <c r="E242" s="23">
        <f t="shared" si="12"/>
        <v>0.16764451284024237</v>
      </c>
    </row>
    <row r="243" spans="1:5" x14ac:dyDescent="0.25">
      <c r="A243" s="63"/>
      <c r="B243" s="48">
        <v>44065</v>
      </c>
      <c r="C243">
        <f>+SUMIFS(Ventas2020!$I:$I,Ventas2020!$B:$B,'Tendencia Diaria'!B243)</f>
        <v>26620</v>
      </c>
      <c r="D243">
        <f>+SUMIFS(Ventas2020!$N:$N,Ventas2020!$B:$B,'Tendencia Diaria'!B243)</f>
        <v>3812</v>
      </c>
      <c r="E243" s="23">
        <f t="shared" si="12"/>
        <v>0.14320060105184071</v>
      </c>
    </row>
    <row r="244" spans="1:5" x14ac:dyDescent="0.25">
      <c r="A244" s="63"/>
      <c r="B244" s="48">
        <v>44066</v>
      </c>
      <c r="C244">
        <f>+SUMIFS(Ventas2020!$I:$I,Ventas2020!$B:$B,'Tendencia Diaria'!B244)</f>
        <v>0</v>
      </c>
      <c r="D244">
        <f>+SUMIFS(Ventas2020!$N:$N,Ventas2020!$B:$B,'Tendencia Diaria'!B244)</f>
        <v>0</v>
      </c>
      <c r="E244" s="23" t="e">
        <f t="shared" si="12"/>
        <v>#DIV/0!</v>
      </c>
    </row>
    <row r="245" spans="1:5" x14ac:dyDescent="0.25">
      <c r="A245" s="63"/>
      <c r="B245" s="48">
        <v>44067</v>
      </c>
      <c r="C245">
        <f>+SUMIFS(Ventas2020!$I:$I,Ventas2020!$B:$B,'Tendencia Diaria'!B245)</f>
        <v>22625.666666666664</v>
      </c>
      <c r="D245">
        <f>+SUMIFS(Ventas2020!$N:$N,Ventas2020!$B:$B,'Tendencia Diaria'!B245)</f>
        <v>3524.8777777777777</v>
      </c>
      <c r="E245" s="23">
        <f t="shared" si="12"/>
        <v>0.15579111235519152</v>
      </c>
    </row>
    <row r="246" spans="1:5" x14ac:dyDescent="0.25">
      <c r="A246" s="63"/>
      <c r="B246" s="48">
        <v>44068</v>
      </c>
      <c r="C246">
        <f>+SUMIFS(Ventas2020!$I:$I,Ventas2020!$B:$B,'Tendencia Diaria'!B246)</f>
        <v>31177.794117647056</v>
      </c>
      <c r="D246">
        <f>+SUMIFS(Ventas2020!$N:$N,Ventas2020!$B:$B,'Tendencia Diaria'!B246)</f>
        <v>6952.2647058823532</v>
      </c>
      <c r="E246" s="23">
        <f t="shared" si="12"/>
        <v>0.22298770335221621</v>
      </c>
    </row>
    <row r="247" spans="1:5" x14ac:dyDescent="0.25">
      <c r="A247" s="63"/>
      <c r="B247" s="48">
        <v>44069</v>
      </c>
      <c r="C247">
        <f>+SUMIFS(Ventas2020!$I:$I,Ventas2020!$B:$B,'Tendencia Diaria'!B247)</f>
        <v>12942.941176470587</v>
      </c>
      <c r="D247">
        <f>+SUMIFS(Ventas2020!$N:$N,Ventas2020!$B:$B,'Tendencia Diaria'!B247)</f>
        <v>1575.7026143790852</v>
      </c>
      <c r="E247" s="23">
        <f t="shared" si="12"/>
        <v>0.1217422371696789</v>
      </c>
    </row>
    <row r="248" spans="1:5" x14ac:dyDescent="0.25">
      <c r="A248" s="63"/>
      <c r="B248" s="48">
        <v>44070</v>
      </c>
      <c r="C248">
        <f>+SUMIFS(Ventas2020!$I:$I,Ventas2020!$B:$B,'Tendencia Diaria'!B248)</f>
        <v>941</v>
      </c>
      <c r="D248">
        <f>+SUMIFS(Ventas2020!$N:$N,Ventas2020!$B:$B,'Tendencia Diaria'!B248)</f>
        <v>172.35833333333338</v>
      </c>
      <c r="E248" s="23">
        <f t="shared" si="12"/>
        <v>0.18316507261778256</v>
      </c>
    </row>
    <row r="249" spans="1:5" x14ac:dyDescent="0.25">
      <c r="A249" s="63"/>
      <c r="B249" s="48">
        <v>44071</v>
      </c>
      <c r="C249">
        <f>+SUMIFS(Ventas2020!$I:$I,Ventas2020!$B:$B,'Tendencia Diaria'!B249)</f>
        <v>11601.5</v>
      </c>
      <c r="D249">
        <f>+SUMIFS(Ventas2020!$N:$N,Ventas2020!$B:$B,'Tendencia Diaria'!B249)</f>
        <v>2576.6866666666665</v>
      </c>
      <c r="E249" s="23">
        <f t="shared" si="12"/>
        <v>0.22209944116421726</v>
      </c>
    </row>
    <row r="250" spans="1:5" x14ac:dyDescent="0.25">
      <c r="A250" s="63"/>
      <c r="B250" s="48">
        <v>44072</v>
      </c>
      <c r="C250">
        <f>+SUMIFS(Ventas2020!$I:$I,Ventas2020!$B:$B,'Tendencia Diaria'!B250)</f>
        <v>3340.2</v>
      </c>
      <c r="D250">
        <f>+SUMIFS(Ventas2020!$N:$N,Ventas2020!$B:$B,'Tendencia Diaria'!B250)</f>
        <v>883.52</v>
      </c>
      <c r="E250" s="23">
        <f t="shared" si="12"/>
        <v>0.26451110711933418</v>
      </c>
    </row>
    <row r="251" spans="1:5" x14ac:dyDescent="0.25">
      <c r="A251" s="63"/>
      <c r="B251" s="48">
        <v>44073</v>
      </c>
      <c r="C251">
        <f>+SUMIFS(Ventas2020!$I:$I,Ventas2020!$B:$B,'Tendencia Diaria'!B251)</f>
        <v>0</v>
      </c>
      <c r="D251">
        <f>+SUMIFS(Ventas2020!$N:$N,Ventas2020!$B:$B,'Tendencia Diaria'!B251)</f>
        <v>0</v>
      </c>
      <c r="E251" s="23" t="e">
        <f t="shared" si="12"/>
        <v>#DIV/0!</v>
      </c>
    </row>
    <row r="252" spans="1:5" ht="15.75" thickBot="1" x14ac:dyDescent="0.3">
      <c r="A252" s="63"/>
      <c r="B252" s="48">
        <v>44074</v>
      </c>
      <c r="C252">
        <f>+SUMIFS(Ventas2020!$I:$I,Ventas2020!$B:$B,'Tendencia Diaria'!B252)</f>
        <v>19740.294117647059</v>
      </c>
      <c r="D252">
        <f>+SUMIFS(Ventas2020!$N:$N,Ventas2020!$B:$B,'Tendencia Diaria'!B252)</f>
        <v>3120.2647058823532</v>
      </c>
      <c r="E252" s="23">
        <f t="shared" si="12"/>
        <v>0.15806576575234293</v>
      </c>
    </row>
    <row r="253" spans="1:5" ht="16.5" thickTop="1" thickBot="1" x14ac:dyDescent="0.3">
      <c r="A253" s="61" t="s">
        <v>5</v>
      </c>
      <c r="B253" s="61"/>
      <c r="C253" s="36">
        <f>SUM(C222:C252)</f>
        <v>428937.52509470459</v>
      </c>
      <c r="D253" s="36">
        <f>SUM(D222:D252)</f>
        <v>68451.317297252244</v>
      </c>
      <c r="E253" s="37">
        <f t="shared" si="12"/>
        <v>0.15958342017788946</v>
      </c>
    </row>
    <row r="254" spans="1:5" ht="15.75" thickTop="1" x14ac:dyDescent="0.25">
      <c r="A254" s="65" t="s">
        <v>350</v>
      </c>
      <c r="B254" s="48">
        <v>44075</v>
      </c>
      <c r="C254">
        <f>+SUMIFS(Ventas2020!$I:$I,Ventas2020!$B:$B,'Tendencia Diaria'!B254)</f>
        <v>20038.852941176472</v>
      </c>
      <c r="D254">
        <f>+SUMIFS(Ventas2020!$N:$N,Ventas2020!$B:$B,'Tendencia Diaria'!B254)</f>
        <v>4344.6376470588229</v>
      </c>
      <c r="E254" s="23"/>
    </row>
    <row r="255" spans="1:5" x14ac:dyDescent="0.25">
      <c r="A255" s="63"/>
      <c r="B255" s="48">
        <v>44076</v>
      </c>
      <c r="C255">
        <f>+SUMIFS(Ventas2020!$I:$I,Ventas2020!$B:$B,'Tendencia Diaria'!B255)</f>
        <v>9857.85</v>
      </c>
      <c r="D255">
        <f>+SUMIFS(Ventas2020!$N:$N,Ventas2020!$B:$B,'Tendencia Diaria'!B255)</f>
        <v>1414.13</v>
      </c>
      <c r="E255" s="23">
        <f t="shared" ref="E255:E316" si="13">+D255/C255</f>
        <v>0.14345217263399221</v>
      </c>
    </row>
    <row r="256" spans="1:5" x14ac:dyDescent="0.25">
      <c r="A256" s="63"/>
      <c r="B256" s="48">
        <v>44077</v>
      </c>
      <c r="C256">
        <f>+SUMIFS(Ventas2020!$I:$I,Ventas2020!$B:$B,'Tendencia Diaria'!B256)</f>
        <v>35717.45102040816</v>
      </c>
      <c r="D256">
        <f>+SUMIFS(Ventas2020!$N:$N,Ventas2020!$B:$B,'Tendencia Diaria'!B256)</f>
        <v>5412.4440136054418</v>
      </c>
      <c r="E256" s="23">
        <f t="shared" si="13"/>
        <v>0.15153500205019926</v>
      </c>
    </row>
    <row r="257" spans="1:5" x14ac:dyDescent="0.25">
      <c r="A257" s="63"/>
      <c r="B257" s="48">
        <v>44078</v>
      </c>
      <c r="C257">
        <f>+SUMIFS(Ventas2020!$I:$I,Ventas2020!$B:$B,'Tendencia Diaria'!B257)</f>
        <v>6538.45</v>
      </c>
      <c r="D257">
        <f>+SUMIFS(Ventas2020!$N:$N,Ventas2020!$B:$B,'Tendencia Diaria'!B257)</f>
        <v>1211.2649999999999</v>
      </c>
      <c r="E257" s="23">
        <f t="shared" si="13"/>
        <v>0.18525262103403711</v>
      </c>
    </row>
    <row r="258" spans="1:5" x14ac:dyDescent="0.25">
      <c r="A258" s="63"/>
      <c r="B258" s="48">
        <v>44079</v>
      </c>
      <c r="C258">
        <f>+SUMIFS(Ventas2020!$I:$I,Ventas2020!$B:$B,'Tendencia Diaria'!B258)</f>
        <v>69810</v>
      </c>
      <c r="D258">
        <f>+SUMIFS(Ventas2020!$N:$N,Ventas2020!$B:$B,'Tendencia Diaria'!B258)</f>
        <v>11181.960000000001</v>
      </c>
      <c r="E258" s="23">
        <f t="shared" si="13"/>
        <v>0.16017705199828106</v>
      </c>
    </row>
    <row r="259" spans="1:5" x14ac:dyDescent="0.25">
      <c r="A259" s="63"/>
      <c r="B259" s="48">
        <v>44080</v>
      </c>
      <c r="C259">
        <f>+SUMIFS(Ventas2020!$I:$I,Ventas2020!$B:$B,'Tendencia Diaria'!B259)</f>
        <v>0</v>
      </c>
      <c r="D259">
        <f>+SUMIFS(Ventas2020!$N:$N,Ventas2020!$B:$B,'Tendencia Diaria'!B259)</f>
        <v>0</v>
      </c>
      <c r="E259" s="23" t="e">
        <f t="shared" si="13"/>
        <v>#DIV/0!</v>
      </c>
    </row>
    <row r="260" spans="1:5" x14ac:dyDescent="0.25">
      <c r="A260" s="63"/>
      <c r="B260" s="48">
        <v>44081</v>
      </c>
      <c r="C260">
        <f>+SUMIFS(Ventas2020!$I:$I,Ventas2020!$B:$B,'Tendencia Diaria'!B260)</f>
        <v>5209.0627450980392</v>
      </c>
      <c r="D260">
        <f>+SUMIFS(Ventas2020!$N:$N,Ventas2020!$B:$B,'Tendencia Diaria'!B260)</f>
        <v>562.99091503267982</v>
      </c>
      <c r="E260" s="23">
        <f t="shared" si="13"/>
        <v>0.10807911952346502</v>
      </c>
    </row>
    <row r="261" spans="1:5" x14ac:dyDescent="0.25">
      <c r="A261" s="63"/>
      <c r="B261" s="48">
        <v>44082</v>
      </c>
      <c r="C261">
        <f>+SUMIFS(Ventas2020!$I:$I,Ventas2020!$B:$B,'Tendencia Diaria'!B261)</f>
        <v>26440.454545454544</v>
      </c>
      <c r="D261">
        <f>+SUMIFS(Ventas2020!$N:$N,Ventas2020!$B:$B,'Tendencia Diaria'!B261)</f>
        <v>4503.1545454545449</v>
      </c>
      <c r="E261" s="23">
        <f t="shared" si="13"/>
        <v>0.17031305334456495</v>
      </c>
    </row>
    <row r="262" spans="1:5" x14ac:dyDescent="0.25">
      <c r="A262" s="63"/>
      <c r="B262" s="48">
        <v>44083</v>
      </c>
      <c r="C262">
        <f>+SUMIFS(Ventas2020!$I:$I,Ventas2020!$B:$B,'Tendencia Diaria'!B262)</f>
        <v>12635</v>
      </c>
      <c r="D262">
        <f>+SUMIFS(Ventas2020!$N:$N,Ventas2020!$B:$B,'Tendencia Diaria'!B262)</f>
        <v>2388</v>
      </c>
      <c r="E262" s="23">
        <f t="shared" si="13"/>
        <v>0.1889988128215275</v>
      </c>
    </row>
    <row r="263" spans="1:5" x14ac:dyDescent="0.25">
      <c r="A263" s="63"/>
      <c r="B263" s="48">
        <v>44084</v>
      </c>
      <c r="C263">
        <f>+SUMIFS(Ventas2020!$I:$I,Ventas2020!$B:$B,'Tendencia Diaria'!B263)</f>
        <v>3380</v>
      </c>
      <c r="D263">
        <f>+SUMIFS(Ventas2020!$N:$N,Ventas2020!$B:$B,'Tendencia Diaria'!B263)</f>
        <v>568</v>
      </c>
      <c r="E263" s="23">
        <f t="shared" si="13"/>
        <v>0.1680473372781065</v>
      </c>
    </row>
    <row r="264" spans="1:5" x14ac:dyDescent="0.25">
      <c r="A264" s="63"/>
      <c r="B264" s="48">
        <v>44085</v>
      </c>
      <c r="C264">
        <f>+SUMIFS(Ventas2020!$I:$I,Ventas2020!$B:$B,'Tendencia Diaria'!B264)</f>
        <v>12588.725490196079</v>
      </c>
      <c r="D264">
        <f>+SUMIFS(Ventas2020!$N:$N,Ventas2020!$B:$B,'Tendencia Diaria'!B264)</f>
        <v>1971.2418300653596</v>
      </c>
      <c r="E264" s="23">
        <f t="shared" si="13"/>
        <v>0.15658787949586594</v>
      </c>
    </row>
    <row r="265" spans="1:5" x14ac:dyDescent="0.25">
      <c r="A265" s="63"/>
      <c r="B265" s="48">
        <v>44086</v>
      </c>
      <c r="C265">
        <f>+SUMIFS(Ventas2020!$I:$I,Ventas2020!$B:$B,'Tendencia Diaria'!B265)</f>
        <v>3591.1274509803916</v>
      </c>
      <c r="D265">
        <f>+SUMIFS(Ventas2020!$N:$N,Ventas2020!$B:$B,'Tendencia Diaria'!B265)</f>
        <v>472.56470588235294</v>
      </c>
      <c r="E265" s="23">
        <f t="shared" si="13"/>
        <v>0.13159229582713389</v>
      </c>
    </row>
    <row r="266" spans="1:5" x14ac:dyDescent="0.25">
      <c r="A266" s="63"/>
      <c r="B266" s="48">
        <v>44087</v>
      </c>
      <c r="C266">
        <f>+SUMIFS(Ventas2020!$I:$I,Ventas2020!$B:$B,'Tendencia Diaria'!B266)</f>
        <v>0</v>
      </c>
      <c r="D266">
        <f>+SUMIFS(Ventas2020!$N:$N,Ventas2020!$B:$B,'Tendencia Diaria'!B266)</f>
        <v>0</v>
      </c>
      <c r="E266" s="23" t="e">
        <f t="shared" si="13"/>
        <v>#DIV/0!</v>
      </c>
    </row>
    <row r="267" spans="1:5" x14ac:dyDescent="0.25">
      <c r="A267" s="63"/>
      <c r="B267" s="48">
        <v>44088</v>
      </c>
      <c r="C267">
        <f>+SUMIFS(Ventas2020!$I:$I,Ventas2020!$B:$B,'Tendencia Diaria'!B267)</f>
        <v>19363</v>
      </c>
      <c r="D267">
        <f>+SUMIFS(Ventas2020!$N:$N,Ventas2020!$B:$B,'Tendencia Diaria'!B267)</f>
        <v>4141.2</v>
      </c>
      <c r="E267" s="23">
        <f t="shared" si="13"/>
        <v>0.21387181738366987</v>
      </c>
    </row>
    <row r="268" spans="1:5" x14ac:dyDescent="0.25">
      <c r="A268" s="63"/>
      <c r="B268" s="48">
        <v>44089</v>
      </c>
      <c r="C268">
        <f>+SUMIFS(Ventas2020!$I:$I,Ventas2020!$B:$B,'Tendencia Diaria'!B268)</f>
        <v>0</v>
      </c>
      <c r="D268">
        <f>+SUMIFS(Ventas2020!$N:$N,Ventas2020!$B:$B,'Tendencia Diaria'!B268)</f>
        <v>0</v>
      </c>
      <c r="E268" s="23" t="e">
        <f t="shared" si="13"/>
        <v>#DIV/0!</v>
      </c>
    </row>
    <row r="269" spans="1:5" x14ac:dyDescent="0.25">
      <c r="A269" s="63"/>
      <c r="B269" s="48">
        <v>44090</v>
      </c>
      <c r="C269">
        <f>+SUMIFS(Ventas2020!$I:$I,Ventas2020!$B:$B,'Tendencia Diaria'!B269)</f>
        <v>36951.090909090912</v>
      </c>
      <c r="D269">
        <f>+SUMIFS(Ventas2020!$N:$N,Ventas2020!$B:$B,'Tendencia Diaria'!B269)</f>
        <v>6402.4397979797986</v>
      </c>
      <c r="E269" s="23">
        <f t="shared" si="13"/>
        <v>0.17326795070087186</v>
      </c>
    </row>
    <row r="270" spans="1:5" x14ac:dyDescent="0.25">
      <c r="A270" s="63"/>
      <c r="B270" s="48">
        <v>44091</v>
      </c>
      <c r="C270">
        <f>+SUMIFS(Ventas2020!$I:$I,Ventas2020!$B:$B,'Tendencia Diaria'!B270)</f>
        <v>19173</v>
      </c>
      <c r="D270">
        <f>+SUMIFS(Ventas2020!$N:$N,Ventas2020!$B:$B,'Tendencia Diaria'!B270)</f>
        <v>3318.7999999999997</v>
      </c>
      <c r="E270" s="23">
        <f t="shared" si="13"/>
        <v>0.17309758514577792</v>
      </c>
    </row>
    <row r="271" spans="1:5" x14ac:dyDescent="0.25">
      <c r="A271" s="63"/>
      <c r="B271" s="48">
        <v>44092</v>
      </c>
      <c r="C271">
        <f>+SUMIFS(Ventas2020!$I:$I,Ventas2020!$B:$B,'Tendencia Diaria'!B271)</f>
        <v>18405.650000000001</v>
      </c>
      <c r="D271">
        <f>+SUMIFS(Ventas2020!$N:$N,Ventas2020!$B:$B,'Tendencia Diaria'!B271)</f>
        <v>2827.39</v>
      </c>
      <c r="E271" s="23">
        <f t="shared" si="13"/>
        <v>0.15361533007527578</v>
      </c>
    </row>
    <row r="272" spans="1:5" x14ac:dyDescent="0.25">
      <c r="A272" s="63"/>
      <c r="B272" s="48">
        <v>44093</v>
      </c>
      <c r="C272">
        <f>+SUMIFS(Ventas2020!$I:$I,Ventas2020!$B:$B,'Tendencia Diaria'!B272)</f>
        <v>19231</v>
      </c>
      <c r="D272">
        <f>+SUMIFS(Ventas2020!$N:$N,Ventas2020!$B:$B,'Tendencia Diaria'!B272)</f>
        <v>2709.7</v>
      </c>
      <c r="E272" s="23">
        <f t="shared" si="13"/>
        <v>0.14090270916748998</v>
      </c>
    </row>
    <row r="273" spans="1:5" x14ac:dyDescent="0.25">
      <c r="A273" s="63"/>
      <c r="B273" s="48">
        <v>44094</v>
      </c>
      <c r="C273">
        <f>+SUMIFS(Ventas2020!$I:$I,Ventas2020!$B:$B,'Tendencia Diaria'!B273)</f>
        <v>0</v>
      </c>
      <c r="D273">
        <f>+SUMIFS(Ventas2020!$N:$N,Ventas2020!$B:$B,'Tendencia Diaria'!B273)</f>
        <v>0</v>
      </c>
      <c r="E273" s="23" t="e">
        <f t="shared" si="13"/>
        <v>#DIV/0!</v>
      </c>
    </row>
    <row r="274" spans="1:5" x14ac:dyDescent="0.25">
      <c r="A274" s="63"/>
      <c r="B274" s="48">
        <v>44095</v>
      </c>
      <c r="C274">
        <f>+SUMIFS(Ventas2020!$I:$I,Ventas2020!$B:$B,'Tendencia Diaria'!B274)</f>
        <v>19241.977777777778</v>
      </c>
      <c r="D274">
        <f>+SUMIFS(Ventas2020!$N:$N,Ventas2020!$B:$B,'Tendencia Diaria'!B274)</f>
        <v>3272.0333333333328</v>
      </c>
      <c r="E274" s="23">
        <f t="shared" si="13"/>
        <v>0.17004662260405198</v>
      </c>
    </row>
    <row r="275" spans="1:5" x14ac:dyDescent="0.25">
      <c r="A275" s="63"/>
      <c r="B275" s="48">
        <v>44096</v>
      </c>
      <c r="C275">
        <f>+SUMIFS(Ventas2020!$I:$I,Ventas2020!$B:$B,'Tendencia Diaria'!B275)</f>
        <v>16363.529411764706</v>
      </c>
      <c r="D275">
        <f>+SUMIFS(Ventas2020!$N:$N,Ventas2020!$B:$B,'Tendencia Diaria'!B275)</f>
        <v>2856.6764705882351</v>
      </c>
      <c r="E275" s="23">
        <f t="shared" si="13"/>
        <v>0.17457581422100796</v>
      </c>
    </row>
    <row r="276" spans="1:5" x14ac:dyDescent="0.25">
      <c r="A276" s="63"/>
      <c r="B276" s="48">
        <v>44097</v>
      </c>
      <c r="C276">
        <f>+SUMIFS(Ventas2020!$I:$I,Ventas2020!$B:$B,'Tendencia Diaria'!B276)</f>
        <v>3765</v>
      </c>
      <c r="D276">
        <f>+SUMIFS(Ventas2020!$N:$N,Ventas2020!$B:$B,'Tendencia Diaria'!B276)</f>
        <v>534.83333333333337</v>
      </c>
      <c r="E276" s="23">
        <f t="shared" si="13"/>
        <v>0.1420540061974325</v>
      </c>
    </row>
    <row r="277" spans="1:5" x14ac:dyDescent="0.25">
      <c r="A277" s="63"/>
      <c r="B277" s="48">
        <v>44098</v>
      </c>
      <c r="C277">
        <f>+SUMIFS(Ventas2020!$I:$I,Ventas2020!$B:$B,'Tendencia Diaria'!B277)</f>
        <v>32386.553594771241</v>
      </c>
      <c r="D277">
        <f>+SUMIFS(Ventas2020!$N:$N,Ventas2020!$B:$B,'Tendencia Diaria'!B277)</f>
        <v>4549.0660130718952</v>
      </c>
      <c r="E277" s="23">
        <f t="shared" si="13"/>
        <v>0.14046156531475873</v>
      </c>
    </row>
    <row r="278" spans="1:5" x14ac:dyDescent="0.25">
      <c r="A278" s="63"/>
      <c r="B278" s="48">
        <v>44099</v>
      </c>
      <c r="C278">
        <f>+SUMIFS(Ventas2020!$I:$I,Ventas2020!$B:$B,'Tendencia Diaria'!B278)</f>
        <v>9786.1333333333332</v>
      </c>
      <c r="D278">
        <f>+SUMIFS(Ventas2020!$N:$N,Ventas2020!$B:$B,'Tendencia Diaria'!B278)</f>
        <v>1194.9933333333333</v>
      </c>
      <c r="E278" s="23">
        <f t="shared" si="13"/>
        <v>0.12211087797700147</v>
      </c>
    </row>
    <row r="279" spans="1:5" x14ac:dyDescent="0.25">
      <c r="A279" s="63"/>
      <c r="B279" s="48">
        <v>44100</v>
      </c>
      <c r="C279">
        <f>+SUMIFS(Ventas2020!$I:$I,Ventas2020!$B:$B,'Tendencia Diaria'!B279)</f>
        <v>25032.861111111109</v>
      </c>
      <c r="D279">
        <f>+SUMIFS(Ventas2020!$N:$N,Ventas2020!$B:$B,'Tendencia Diaria'!B279)</f>
        <v>3817.5083333333332</v>
      </c>
      <c r="E279" s="23">
        <f t="shared" si="13"/>
        <v>0.15249988071235254</v>
      </c>
    </row>
    <row r="280" spans="1:5" x14ac:dyDescent="0.25">
      <c r="A280" s="63"/>
      <c r="B280" s="48">
        <v>44101</v>
      </c>
      <c r="C280">
        <f>+SUMIFS(Ventas2020!$I:$I,Ventas2020!$B:$B,'Tendencia Diaria'!B280)</f>
        <v>0</v>
      </c>
      <c r="D280">
        <f>+SUMIFS(Ventas2020!$N:$N,Ventas2020!$B:$B,'Tendencia Diaria'!B280)</f>
        <v>0</v>
      </c>
      <c r="E280" s="23" t="e">
        <f t="shared" si="13"/>
        <v>#DIV/0!</v>
      </c>
    </row>
    <row r="281" spans="1:5" x14ac:dyDescent="0.25">
      <c r="A281" s="63"/>
      <c r="B281" s="48">
        <v>44102</v>
      </c>
      <c r="C281">
        <f>+SUMIFS(Ventas2020!$I:$I,Ventas2020!$B:$B,'Tendencia Diaria'!B281)</f>
        <v>11463.970588235292</v>
      </c>
      <c r="D281">
        <f>+SUMIFS(Ventas2020!$N:$N,Ventas2020!$B:$B,'Tendencia Diaria'!B281)</f>
        <v>1815.5735294117646</v>
      </c>
      <c r="E281" s="23">
        <f t="shared" si="13"/>
        <v>0.15837213777179143</v>
      </c>
    </row>
    <row r="282" spans="1:5" x14ac:dyDescent="0.25">
      <c r="A282" s="63"/>
      <c r="B282" s="48">
        <v>44103</v>
      </c>
      <c r="C282">
        <f>+SUMIFS(Ventas2020!$I:$I,Ventas2020!$B:$B,'Tendencia Diaria'!B282)</f>
        <v>30150</v>
      </c>
      <c r="D282">
        <f>+SUMIFS(Ventas2020!$N:$N,Ventas2020!$B:$B,'Tendencia Diaria'!B282)</f>
        <v>3502</v>
      </c>
      <c r="E282" s="23">
        <f t="shared" si="13"/>
        <v>0.1161525704809287</v>
      </c>
    </row>
    <row r="283" spans="1:5" ht="15.75" thickBot="1" x14ac:dyDescent="0.3">
      <c r="A283" s="63"/>
      <c r="B283" s="48">
        <v>44104</v>
      </c>
      <c r="C283">
        <f>+SUMIFS(Ventas2020!$I:$I,Ventas2020!$B:$B,'Tendencia Diaria'!B283)</f>
        <v>13601.402777777777</v>
      </c>
      <c r="D283">
        <f>+SUMIFS(Ventas2020!$N:$N,Ventas2020!$B:$B,'Tendencia Diaria'!B283)</f>
        <v>1940.8041666666668</v>
      </c>
      <c r="E283" s="23">
        <f t="shared" si="13"/>
        <v>0.14269147075311883</v>
      </c>
    </row>
    <row r="284" spans="1:5" ht="16.5" thickTop="1" thickBot="1" x14ac:dyDescent="0.3">
      <c r="A284" s="61" t="s">
        <v>5</v>
      </c>
      <c r="B284" s="61"/>
      <c r="C284" s="36">
        <f>SUM(C254:C283)</f>
        <v>480722.14369717584</v>
      </c>
      <c r="D284" s="36">
        <f>SUM(D254:D283)</f>
        <v>76913.406968150899</v>
      </c>
      <c r="E284" s="37">
        <f t="shared" si="13"/>
        <v>0.15999555663614576</v>
      </c>
    </row>
    <row r="285" spans="1:5" ht="15.75" thickTop="1" x14ac:dyDescent="0.25">
      <c r="A285" s="63" t="s">
        <v>351</v>
      </c>
      <c r="B285" s="48">
        <v>44105</v>
      </c>
      <c r="C285">
        <f>+SUMIFS(Ventas2020!$I:$I,Ventas2020!$B:$B,'Tendencia Diaria'!B285)</f>
        <v>9986.875</v>
      </c>
      <c r="D285">
        <f>+SUMIFS(Ventas2020!$N:$N,Ventas2020!$B:$B,'Tendencia Diaria'!B285)</f>
        <v>1635.9375</v>
      </c>
      <c r="E285" s="23">
        <f t="shared" si="13"/>
        <v>0.16380874898304024</v>
      </c>
    </row>
    <row r="286" spans="1:5" x14ac:dyDescent="0.25">
      <c r="A286" s="63"/>
      <c r="B286" s="48">
        <v>44106</v>
      </c>
      <c r="C286">
        <f>+SUMIFS(Ventas2020!$I:$I,Ventas2020!$B:$B,'Tendencia Diaria'!B286)</f>
        <v>22777.666666666664</v>
      </c>
      <c r="D286">
        <f>+SUMIFS(Ventas2020!$N:$N,Ventas2020!$B:$B,'Tendencia Diaria'!B286)</f>
        <v>2952.1333333333332</v>
      </c>
      <c r="E286" s="23">
        <f t="shared" si="13"/>
        <v>0.12960648588529702</v>
      </c>
    </row>
    <row r="287" spans="1:5" x14ac:dyDescent="0.25">
      <c r="A287" s="63"/>
      <c r="B287" s="48">
        <v>44107</v>
      </c>
      <c r="C287">
        <f>+SUMIFS(Ventas2020!$I:$I,Ventas2020!$B:$B,'Tendencia Diaria'!B287)</f>
        <v>29449</v>
      </c>
      <c r="D287">
        <f>+SUMIFS(Ventas2020!$N:$N,Ventas2020!$B:$B,'Tendencia Diaria'!B287)</f>
        <v>4034.0000000000005</v>
      </c>
      <c r="E287" s="23">
        <f t="shared" si="13"/>
        <v>0.1369825800536521</v>
      </c>
    </row>
    <row r="288" spans="1:5" x14ac:dyDescent="0.25">
      <c r="A288" s="63"/>
      <c r="B288" s="48">
        <v>44108</v>
      </c>
      <c r="C288">
        <f>+SUMIFS(Ventas2020!$I:$I,Ventas2020!$B:$B,'Tendencia Diaria'!B288)</f>
        <v>0</v>
      </c>
      <c r="D288">
        <f>+SUMIFS(Ventas2020!$N:$N,Ventas2020!$B:$B,'Tendencia Diaria'!B288)</f>
        <v>0</v>
      </c>
      <c r="E288" s="23" t="e">
        <f t="shared" si="13"/>
        <v>#DIV/0!</v>
      </c>
    </row>
    <row r="289" spans="1:5" x14ac:dyDescent="0.25">
      <c r="A289" s="63"/>
      <c r="B289" s="48">
        <v>44109</v>
      </c>
      <c r="C289">
        <f>+SUMIFS(Ventas2020!$I:$I,Ventas2020!$B:$B,'Tendencia Diaria'!B289)</f>
        <v>27133.529411764706</v>
      </c>
      <c r="D289">
        <f>+SUMIFS(Ventas2020!$N:$N,Ventas2020!$B:$B,'Tendencia Diaria'!B289)</f>
        <v>4835.8431372549021</v>
      </c>
      <c r="E289" s="23">
        <f t="shared" si="13"/>
        <v>0.17822388911772571</v>
      </c>
    </row>
    <row r="290" spans="1:5" x14ac:dyDescent="0.25">
      <c r="A290" s="63"/>
      <c r="B290" s="48">
        <v>44110</v>
      </c>
      <c r="C290">
        <f>+SUMIFS(Ventas2020!$I:$I,Ventas2020!$B:$B,'Tendencia Diaria'!B290)</f>
        <v>14690</v>
      </c>
      <c r="D290">
        <f>+SUMIFS(Ventas2020!$N:$N,Ventas2020!$B:$B,'Tendencia Diaria'!B290)</f>
        <v>2499</v>
      </c>
      <c r="E290" s="23">
        <f t="shared" si="13"/>
        <v>0.17011572498298161</v>
      </c>
    </row>
    <row r="291" spans="1:5" x14ac:dyDescent="0.25">
      <c r="A291" s="63"/>
      <c r="B291" s="48">
        <v>44111</v>
      </c>
      <c r="C291">
        <f>+SUMIFS(Ventas2020!$I:$I,Ventas2020!$B:$B,'Tendencia Diaria'!B291)</f>
        <v>13925.555555555555</v>
      </c>
      <c r="D291">
        <f>+SUMIFS(Ventas2020!$N:$N,Ventas2020!$B:$B,'Tendencia Diaria'!B291)</f>
        <v>1737.5555555555557</v>
      </c>
      <c r="E291" s="23">
        <f t="shared" si="13"/>
        <v>0.12477459506901781</v>
      </c>
    </row>
    <row r="292" spans="1:5" x14ac:dyDescent="0.25">
      <c r="A292" s="63"/>
      <c r="B292" s="48">
        <v>44112</v>
      </c>
      <c r="C292">
        <f>+SUMIFS(Ventas2020!$I:$I,Ventas2020!$B:$B,'Tendencia Diaria'!B292)</f>
        <v>13129.199999999999</v>
      </c>
      <c r="D292">
        <f>+SUMIFS(Ventas2020!$N:$N,Ventas2020!$B:$B,'Tendencia Diaria'!B292)</f>
        <v>2259.13</v>
      </c>
      <c r="E292" s="23">
        <f t="shared" si="13"/>
        <v>0.17206912835511687</v>
      </c>
    </row>
    <row r="293" spans="1:5" x14ac:dyDescent="0.25">
      <c r="A293" s="63"/>
      <c r="B293" s="48">
        <v>44113</v>
      </c>
      <c r="C293">
        <f>+SUMIFS(Ventas2020!$I:$I,Ventas2020!$B:$B,'Tendencia Diaria'!B293)</f>
        <v>3655</v>
      </c>
      <c r="D293">
        <f>+SUMIFS(Ventas2020!$N:$N,Ventas2020!$B:$B,'Tendencia Diaria'!B293)</f>
        <v>906</v>
      </c>
      <c r="E293" s="23">
        <f t="shared" si="13"/>
        <v>0.24787961696306429</v>
      </c>
    </row>
    <row r="294" spans="1:5" x14ac:dyDescent="0.25">
      <c r="A294" s="63"/>
      <c r="B294" s="48">
        <v>44114</v>
      </c>
      <c r="C294">
        <f>+SUMIFS(Ventas2020!$I:$I,Ventas2020!$B:$B,'Tendencia Diaria'!B294)</f>
        <v>20665</v>
      </c>
      <c r="D294">
        <f>+SUMIFS(Ventas2020!$N:$N,Ventas2020!$B:$B,'Tendencia Diaria'!B294)</f>
        <v>3099</v>
      </c>
      <c r="E294" s="23">
        <f t="shared" si="13"/>
        <v>0.14996370675054441</v>
      </c>
    </row>
    <row r="295" spans="1:5" x14ac:dyDescent="0.25">
      <c r="A295" s="63"/>
      <c r="B295" s="48">
        <v>44115</v>
      </c>
      <c r="C295">
        <f>+SUMIFS(Ventas2020!$I:$I,Ventas2020!$B:$B,'Tendencia Diaria'!B295)</f>
        <v>0</v>
      </c>
      <c r="D295">
        <f>+SUMIFS(Ventas2020!$N:$N,Ventas2020!$B:$B,'Tendencia Diaria'!B295)</f>
        <v>0</v>
      </c>
      <c r="E295" s="23" t="e">
        <f t="shared" si="13"/>
        <v>#DIV/0!</v>
      </c>
    </row>
    <row r="296" spans="1:5" x14ac:dyDescent="0.25">
      <c r="A296" s="63"/>
      <c r="B296" s="48">
        <v>44116</v>
      </c>
      <c r="C296">
        <f>+SUMIFS(Ventas2020!$I:$I,Ventas2020!$B:$B,'Tendencia Diaria'!B296)</f>
        <v>33102</v>
      </c>
      <c r="D296">
        <f>+SUMIFS(Ventas2020!$N:$N,Ventas2020!$B:$B,'Tendencia Diaria'!B296)</f>
        <v>4491.2222222222226</v>
      </c>
      <c r="E296" s="23">
        <f t="shared" si="13"/>
        <v>0.13567827388744555</v>
      </c>
    </row>
    <row r="297" spans="1:5" x14ac:dyDescent="0.25">
      <c r="A297" s="63"/>
      <c r="B297" s="48">
        <v>44117</v>
      </c>
      <c r="C297">
        <f>+SUMIFS(Ventas2020!$I:$I,Ventas2020!$B:$B,'Tendencia Diaria'!B297)</f>
        <v>18121.911764705881</v>
      </c>
      <c r="D297">
        <f>+SUMIFS(Ventas2020!$N:$N,Ventas2020!$B:$B,'Tendencia Diaria'!B297)</f>
        <v>2305.1372549019607</v>
      </c>
      <c r="E297" s="23">
        <f t="shared" si="13"/>
        <v>0.12720165978246462</v>
      </c>
    </row>
    <row r="298" spans="1:5" x14ac:dyDescent="0.25">
      <c r="A298" s="63"/>
      <c r="B298" s="48">
        <v>44118</v>
      </c>
      <c r="C298">
        <f>+SUMIFS(Ventas2020!$I:$I,Ventas2020!$B:$B,'Tendencia Diaria'!B298)</f>
        <v>13752.788235294118</v>
      </c>
      <c r="D298">
        <f>+SUMIFS(Ventas2020!$N:$N,Ventas2020!$B:$B,'Tendencia Diaria'!B298)</f>
        <v>1657.619411764706</v>
      </c>
      <c r="E298" s="23">
        <f t="shared" si="13"/>
        <v>0.12052969793504975</v>
      </c>
    </row>
    <row r="299" spans="1:5" x14ac:dyDescent="0.25">
      <c r="A299" s="63"/>
      <c r="B299" s="48">
        <v>44119</v>
      </c>
      <c r="C299">
        <f>+SUMIFS(Ventas2020!$I:$I,Ventas2020!$B:$B,'Tendencia Diaria'!B299)</f>
        <v>7373.4693877551017</v>
      </c>
      <c r="D299">
        <f>+SUMIFS(Ventas2020!$N:$N,Ventas2020!$B:$B,'Tendencia Diaria'!B299)</f>
        <v>1377.8163265306123</v>
      </c>
      <c r="E299" s="23">
        <f t="shared" si="13"/>
        <v>0.18686133407140881</v>
      </c>
    </row>
    <row r="300" spans="1:5" x14ac:dyDescent="0.25">
      <c r="A300" s="63"/>
      <c r="B300" s="48">
        <v>44120</v>
      </c>
      <c r="C300">
        <f>+SUMIFS(Ventas2020!$I:$I,Ventas2020!$B:$B,'Tendencia Diaria'!B300)</f>
        <v>3361.9</v>
      </c>
      <c r="D300">
        <f>+SUMIFS(Ventas2020!$N:$N,Ventas2020!$B:$B,'Tendencia Diaria'!B300)</f>
        <v>502.80666666666667</v>
      </c>
      <c r="E300" s="23">
        <f t="shared" si="13"/>
        <v>0.14956026849896387</v>
      </c>
    </row>
    <row r="301" spans="1:5" x14ac:dyDescent="0.25">
      <c r="A301" s="63"/>
      <c r="B301" s="48">
        <v>44121</v>
      </c>
      <c r="C301">
        <f>+SUMIFS(Ventas2020!$I:$I,Ventas2020!$B:$B,'Tendencia Diaria'!B301)</f>
        <v>16418.5</v>
      </c>
      <c r="D301">
        <f>+SUMIFS(Ventas2020!$N:$N,Ventas2020!$B:$B,'Tendencia Diaria'!B301)</f>
        <v>2611.3233333333333</v>
      </c>
      <c r="E301" s="23">
        <f t="shared" si="13"/>
        <v>0.15904761904761905</v>
      </c>
    </row>
    <row r="302" spans="1:5" x14ac:dyDescent="0.25">
      <c r="A302" s="63"/>
      <c r="B302" s="48">
        <v>44122</v>
      </c>
      <c r="C302">
        <f>+SUMIFS(Ventas2020!$I:$I,Ventas2020!$B:$B,'Tendencia Diaria'!B302)</f>
        <v>0</v>
      </c>
      <c r="D302">
        <f>+SUMIFS(Ventas2020!$N:$N,Ventas2020!$B:$B,'Tendencia Diaria'!B302)</f>
        <v>0</v>
      </c>
      <c r="E302" s="23" t="e">
        <f t="shared" si="13"/>
        <v>#DIV/0!</v>
      </c>
    </row>
    <row r="303" spans="1:5" x14ac:dyDescent="0.25">
      <c r="A303" s="63"/>
      <c r="B303" s="48">
        <v>44123</v>
      </c>
      <c r="C303">
        <f>+SUMIFS(Ventas2020!$I:$I,Ventas2020!$B:$B,'Tendencia Diaria'!B303)</f>
        <v>18626.349019607842</v>
      </c>
      <c r="D303">
        <f>+SUMIFS(Ventas2020!$N:$N,Ventas2020!$B:$B,'Tendencia Diaria'!B303)</f>
        <v>3141.2785620915033</v>
      </c>
      <c r="E303" s="23">
        <f t="shared" si="13"/>
        <v>0.16864703645275297</v>
      </c>
    </row>
    <row r="304" spans="1:5" x14ac:dyDescent="0.25">
      <c r="A304" s="63"/>
      <c r="B304" s="48">
        <v>44124</v>
      </c>
      <c r="C304">
        <f>+SUMIFS(Ventas2020!$I:$I,Ventas2020!$B:$B,'Tendencia Diaria'!B304)</f>
        <v>11820</v>
      </c>
      <c r="D304">
        <f>+SUMIFS(Ventas2020!$N:$N,Ventas2020!$B:$B,'Tendencia Diaria'!B304)</f>
        <v>1520</v>
      </c>
      <c r="E304" s="23">
        <f t="shared" si="13"/>
        <v>0.12859560067681894</v>
      </c>
    </row>
    <row r="305" spans="1:5" x14ac:dyDescent="0.25">
      <c r="A305" s="63"/>
      <c r="B305" s="48">
        <v>44125</v>
      </c>
      <c r="C305">
        <f>+SUMIFS(Ventas2020!$I:$I,Ventas2020!$B:$B,'Tendencia Diaria'!B305)</f>
        <v>18750</v>
      </c>
      <c r="D305">
        <f>+SUMIFS(Ventas2020!$N:$N,Ventas2020!$B:$B,'Tendencia Diaria'!B305)</f>
        <v>2542.3333333333335</v>
      </c>
      <c r="E305" s="23">
        <f t="shared" si="13"/>
        <v>0.13559111111111111</v>
      </c>
    </row>
    <row r="306" spans="1:5" x14ac:dyDescent="0.25">
      <c r="A306" s="63"/>
      <c r="B306" s="48">
        <v>44126</v>
      </c>
      <c r="C306">
        <f>+SUMIFS(Ventas2020!$I:$I,Ventas2020!$B:$B,'Tendencia Diaria'!B306)</f>
        <v>12691.732026143791</v>
      </c>
      <c r="D306">
        <f>+SUMIFS(Ventas2020!$N:$N,Ventas2020!$B:$B,'Tendencia Diaria'!B306)</f>
        <v>2230.6143790849674</v>
      </c>
      <c r="E306" s="23">
        <f t="shared" si="13"/>
        <v>0.17575334670556458</v>
      </c>
    </row>
    <row r="307" spans="1:5" x14ac:dyDescent="0.25">
      <c r="A307" s="63"/>
      <c r="B307" s="48">
        <v>44127</v>
      </c>
      <c r="C307">
        <f>+SUMIFS(Ventas2020!$I:$I,Ventas2020!$B:$B,'Tendencia Diaria'!B307)</f>
        <v>16886.176470588234</v>
      </c>
      <c r="D307">
        <f>+SUMIFS(Ventas2020!$N:$N,Ventas2020!$B:$B,'Tendencia Diaria'!B307)</f>
        <v>2432.7254901960787</v>
      </c>
      <c r="E307" s="23">
        <f t="shared" si="13"/>
        <v>0.14406609420630637</v>
      </c>
    </row>
    <row r="308" spans="1:5" x14ac:dyDescent="0.25">
      <c r="A308" s="63"/>
      <c r="B308" s="48">
        <v>44128</v>
      </c>
      <c r="C308">
        <f>+SUMIFS(Ventas2020!$I:$I,Ventas2020!$B:$B,'Tendencia Diaria'!B308)</f>
        <v>7960.588235294118</v>
      </c>
      <c r="D308">
        <f>+SUMIFS(Ventas2020!$N:$N,Ventas2020!$B:$B,'Tendencia Diaria'!B308)</f>
        <v>1248.5294117647059</v>
      </c>
      <c r="E308" s="23">
        <f t="shared" si="13"/>
        <v>0.15683883839503435</v>
      </c>
    </row>
    <row r="309" spans="1:5" x14ac:dyDescent="0.25">
      <c r="A309" s="63"/>
      <c r="B309" s="48">
        <v>44129</v>
      </c>
      <c r="C309">
        <f>+SUMIFS(Ventas2020!$I:$I,Ventas2020!$B:$B,'Tendencia Diaria'!B309)</f>
        <v>0</v>
      </c>
      <c r="D309">
        <f>+SUMIFS(Ventas2020!$N:$N,Ventas2020!$B:$B,'Tendencia Diaria'!B309)</f>
        <v>0</v>
      </c>
      <c r="E309" s="23" t="e">
        <f t="shared" si="13"/>
        <v>#DIV/0!</v>
      </c>
    </row>
    <row r="310" spans="1:5" x14ac:dyDescent="0.25">
      <c r="A310" s="63"/>
      <c r="B310" s="48">
        <v>44130</v>
      </c>
      <c r="C310">
        <f>+SUMIFS(Ventas2020!$I:$I,Ventas2020!$B:$B,'Tendencia Diaria'!B310)</f>
        <v>17336.333333333336</v>
      </c>
      <c r="D310">
        <f>+SUMIFS(Ventas2020!$N:$N,Ventas2020!$B:$B,'Tendencia Diaria'!B310)</f>
        <v>2644.3222222222225</v>
      </c>
      <c r="E310" s="23">
        <f t="shared" si="13"/>
        <v>0.15253065174617214</v>
      </c>
    </row>
    <row r="311" spans="1:5" x14ac:dyDescent="0.25">
      <c r="A311" s="63"/>
      <c r="B311" s="48">
        <v>44131</v>
      </c>
      <c r="C311">
        <f>+SUMIFS(Ventas2020!$I:$I,Ventas2020!$B:$B,'Tendencia Diaria'!B311)</f>
        <v>42060</v>
      </c>
      <c r="D311">
        <f>+SUMIFS(Ventas2020!$N:$N,Ventas2020!$B:$B,'Tendencia Diaria'!B311)</f>
        <v>5515</v>
      </c>
      <c r="E311" s="23">
        <f t="shared" si="13"/>
        <v>0.13112220637184974</v>
      </c>
    </row>
    <row r="312" spans="1:5" x14ac:dyDescent="0.25">
      <c r="A312" s="63"/>
      <c r="B312" s="48">
        <v>44132</v>
      </c>
      <c r="C312">
        <f>+SUMIFS(Ventas2020!$I:$I,Ventas2020!$B:$B,'Tendencia Diaria'!B312)</f>
        <v>51155.72156862745</v>
      </c>
      <c r="D312">
        <f>+SUMIFS(Ventas2020!$N:$N,Ventas2020!$B:$B,'Tendencia Diaria'!B312)</f>
        <v>6554.1049673202615</v>
      </c>
      <c r="E312" s="23">
        <f t="shared" si="13"/>
        <v>0.12812066307241249</v>
      </c>
    </row>
    <row r="313" spans="1:5" x14ac:dyDescent="0.25">
      <c r="A313" s="63"/>
      <c r="B313" s="48">
        <v>44133</v>
      </c>
      <c r="C313">
        <f>+SUMIFS(Ventas2020!$I:$I,Ventas2020!$B:$B,'Tendencia Diaria'!B313)</f>
        <v>11153.6</v>
      </c>
      <c r="D313">
        <f>+SUMIFS(Ventas2020!$N:$N,Ventas2020!$B:$B,'Tendencia Diaria'!B313)</f>
        <v>1696.1799999999998</v>
      </c>
      <c r="E313" s="23">
        <f t="shared" si="13"/>
        <v>0.15207466647539805</v>
      </c>
    </row>
    <row r="314" spans="1:5" x14ac:dyDescent="0.25">
      <c r="A314" s="63"/>
      <c r="B314" s="48">
        <v>44134</v>
      </c>
      <c r="C314">
        <f>+SUMIFS(Ventas2020!$I:$I,Ventas2020!$B:$B,'Tendencia Diaria'!B314)</f>
        <v>66964.444444444438</v>
      </c>
      <c r="D314">
        <f>+SUMIFS(Ventas2020!$N:$N,Ventas2020!$B:$B,'Tendencia Diaria'!B314)</f>
        <v>6758.4444444444443</v>
      </c>
      <c r="E314" s="23">
        <f t="shared" si="13"/>
        <v>0.10092586447202496</v>
      </c>
    </row>
    <row r="315" spans="1:5" ht="15.75" thickBot="1" x14ac:dyDescent="0.3">
      <c r="A315" s="63"/>
      <c r="B315" s="48">
        <v>44135</v>
      </c>
      <c r="C315">
        <f>+SUMIFS(Ventas2020!$I:$I,Ventas2020!$B:$B,'Tendencia Diaria'!B315)</f>
        <v>13337.4</v>
      </c>
      <c r="D315">
        <f>+SUMIFS(Ventas2020!$N:$N,Ventas2020!$B:$B,'Tendencia Diaria'!B315)</f>
        <v>2193.16</v>
      </c>
      <c r="E315" s="23">
        <f t="shared" si="13"/>
        <v>0.16443684676173767</v>
      </c>
    </row>
    <row r="316" spans="1:5" ht="16.5" thickTop="1" thickBot="1" x14ac:dyDescent="0.3">
      <c r="A316" s="61" t="s">
        <v>5</v>
      </c>
      <c r="B316" s="61"/>
      <c r="C316" s="36">
        <f>SUM(C285:C315)</f>
        <v>536284.74111978116</v>
      </c>
      <c r="D316" s="36">
        <f>SUM(D285:D315)</f>
        <v>75381.217552020797</v>
      </c>
      <c r="E316" s="37">
        <f t="shared" si="13"/>
        <v>0.14056192871462686</v>
      </c>
    </row>
    <row r="317" spans="1:5" ht="15.75" thickTop="1" x14ac:dyDescent="0.25">
      <c r="A317" s="65" t="s">
        <v>352</v>
      </c>
      <c r="B317" s="48">
        <v>44136</v>
      </c>
      <c r="C317">
        <f>+SUMIFS(Ventas2020!$I:$I,Ventas2020!$B:$B,'Tendencia Diaria'!B317)</f>
        <v>0</v>
      </c>
      <c r="D317">
        <f>+SUMIFS(Ventas2020!$N:$N,Ventas2020!$B:$B,'Tendencia Diaria'!B317)</f>
        <v>0</v>
      </c>
      <c r="E317" s="23"/>
    </row>
    <row r="318" spans="1:5" x14ac:dyDescent="0.25">
      <c r="A318" s="63"/>
      <c r="B318" s="48">
        <v>44137</v>
      </c>
      <c r="C318">
        <f>+SUMIFS(Ventas2020!$I:$I,Ventas2020!$B:$B,'Tendencia Diaria'!B318)</f>
        <v>26060.799999999999</v>
      </c>
      <c r="D318">
        <f>+SUMIFS(Ventas2020!$N:$N,Ventas2020!$B:$B,'Tendencia Diaria'!B318)</f>
        <v>2927.52</v>
      </c>
      <c r="E318" s="23">
        <f t="shared" ref="E318:E379" si="14">+D318/C318</f>
        <v>0.11233423379174853</v>
      </c>
    </row>
    <row r="319" spans="1:5" x14ac:dyDescent="0.25">
      <c r="A319" s="63"/>
      <c r="B319" s="48">
        <v>44138</v>
      </c>
      <c r="C319">
        <f>+SUMIFS(Ventas2020!$I:$I,Ventas2020!$B:$B,'Tendencia Diaria'!B319)</f>
        <v>26190</v>
      </c>
      <c r="D319">
        <f>+SUMIFS(Ventas2020!$N:$N,Ventas2020!$B:$B,'Tendencia Diaria'!B319)</f>
        <v>2974</v>
      </c>
      <c r="E319" s="23">
        <f t="shared" si="14"/>
        <v>0.11355479190530737</v>
      </c>
    </row>
    <row r="320" spans="1:5" x14ac:dyDescent="0.25">
      <c r="A320" s="63"/>
      <c r="B320" s="48">
        <v>44139</v>
      </c>
      <c r="C320">
        <f>+SUMIFS(Ventas2020!$I:$I,Ventas2020!$B:$B,'Tendencia Diaria'!B320)</f>
        <v>14905</v>
      </c>
      <c r="D320">
        <f>+SUMIFS(Ventas2020!$N:$N,Ventas2020!$B:$B,'Tendencia Diaria'!B320)</f>
        <v>2021.3000000000002</v>
      </c>
      <c r="E320" s="23">
        <f t="shared" si="14"/>
        <v>0.13561221066756124</v>
      </c>
    </row>
    <row r="321" spans="1:5" x14ac:dyDescent="0.25">
      <c r="A321" s="63"/>
      <c r="B321" s="48">
        <v>44140</v>
      </c>
      <c r="C321">
        <f>+SUMIFS(Ventas2020!$I:$I,Ventas2020!$B:$B,'Tendencia Diaria'!B321)</f>
        <v>22999.847058823529</v>
      </c>
      <c r="D321">
        <f>+SUMIFS(Ventas2020!$N:$N,Ventas2020!$B:$B,'Tendencia Diaria'!B321)</f>
        <v>2706.0423529411764</v>
      </c>
      <c r="E321" s="23">
        <f t="shared" si="14"/>
        <v>0.11765479770453717</v>
      </c>
    </row>
    <row r="322" spans="1:5" x14ac:dyDescent="0.25">
      <c r="A322" s="63"/>
      <c r="B322" s="48">
        <v>44141</v>
      </c>
      <c r="C322">
        <f>+SUMIFS(Ventas2020!$I:$I,Ventas2020!$B:$B,'Tendencia Diaria'!B322)</f>
        <v>2948.3305882352943</v>
      </c>
      <c r="D322">
        <f>+SUMIFS(Ventas2020!$N:$N,Ventas2020!$B:$B,'Tendencia Diaria'!B322)</f>
        <v>378.77952941176477</v>
      </c>
      <c r="E322" s="23">
        <f t="shared" si="14"/>
        <v>0.12847254338546921</v>
      </c>
    </row>
    <row r="323" spans="1:5" x14ac:dyDescent="0.25">
      <c r="A323" s="63"/>
      <c r="B323" s="48">
        <v>44142</v>
      </c>
      <c r="C323">
        <f>+SUMIFS(Ventas2020!$I:$I,Ventas2020!$B:$B,'Tendencia Diaria'!B323)</f>
        <v>34266.607843137259</v>
      </c>
      <c r="D323">
        <f>+SUMIFS(Ventas2020!$N:$N,Ventas2020!$B:$B,'Tendencia Diaria'!B323)</f>
        <v>4670.758169934641</v>
      </c>
      <c r="E323" s="23">
        <f t="shared" si="14"/>
        <v>0.13630640626338147</v>
      </c>
    </row>
    <row r="324" spans="1:5" x14ac:dyDescent="0.25">
      <c r="A324" s="63"/>
      <c r="B324" s="48">
        <v>44143</v>
      </c>
      <c r="C324">
        <f>+SUMIFS(Ventas2020!$I:$I,Ventas2020!$B:$B,'Tendencia Diaria'!B324)</f>
        <v>0</v>
      </c>
      <c r="D324">
        <f>+SUMIFS(Ventas2020!$N:$N,Ventas2020!$B:$B,'Tendencia Diaria'!B324)</f>
        <v>0</v>
      </c>
      <c r="E324" s="23" t="e">
        <f t="shared" si="14"/>
        <v>#DIV/0!</v>
      </c>
    </row>
    <row r="325" spans="1:5" x14ac:dyDescent="0.25">
      <c r="A325" s="63"/>
      <c r="B325" s="48">
        <v>44144</v>
      </c>
      <c r="C325">
        <f>+SUMIFS(Ventas2020!$I:$I,Ventas2020!$B:$B,'Tendencia Diaria'!B325)</f>
        <v>36361.666666666664</v>
      </c>
      <c r="D325">
        <f>+SUMIFS(Ventas2020!$N:$N,Ventas2020!$B:$B,'Tendencia Diaria'!B325)</f>
        <v>4569.1111111111113</v>
      </c>
      <c r="E325" s="23">
        <f t="shared" si="14"/>
        <v>0.12565736199599703</v>
      </c>
    </row>
    <row r="326" spans="1:5" x14ac:dyDescent="0.25">
      <c r="A326" s="63"/>
      <c r="B326" s="48">
        <v>44145</v>
      </c>
      <c r="C326">
        <f>+SUMIFS(Ventas2020!$I:$I,Ventas2020!$B:$B,'Tendencia Diaria'!B326)</f>
        <v>6626.5833333333339</v>
      </c>
      <c r="D326">
        <f>+SUMIFS(Ventas2020!$N:$N,Ventas2020!$B:$B,'Tendencia Diaria'!B326)</f>
        <v>1500.7522222222221</v>
      </c>
      <c r="E326" s="23">
        <f t="shared" si="14"/>
        <v>0.22647451133272128</v>
      </c>
    </row>
    <row r="327" spans="1:5" x14ac:dyDescent="0.25">
      <c r="A327" s="63"/>
      <c r="B327" s="48">
        <v>44146</v>
      </c>
      <c r="C327">
        <f>+SUMIFS(Ventas2020!$I:$I,Ventas2020!$B:$B,'Tendencia Diaria'!B327)</f>
        <v>24088.95</v>
      </c>
      <c r="D327">
        <f>+SUMIFS(Ventas2020!$N:$N,Ventas2020!$B:$B,'Tendencia Diaria'!B327)</f>
        <v>4449.8933333333352</v>
      </c>
      <c r="E327" s="23">
        <f t="shared" si="14"/>
        <v>0.18472757564498807</v>
      </c>
    </row>
    <row r="328" spans="1:5" x14ac:dyDescent="0.25">
      <c r="A328" s="63"/>
      <c r="B328" s="48">
        <v>44147</v>
      </c>
      <c r="C328">
        <f>+SUMIFS(Ventas2020!$I:$I,Ventas2020!$B:$B,'Tendencia Diaria'!B328)</f>
        <v>12135.4</v>
      </c>
      <c r="D328">
        <f>+SUMIFS(Ventas2020!$N:$N,Ventas2020!$B:$B,'Tendencia Diaria'!B328)</f>
        <v>1818.5333333333335</v>
      </c>
      <c r="E328" s="23">
        <f t="shared" si="14"/>
        <v>0.14985359636545426</v>
      </c>
    </row>
    <row r="329" spans="1:5" x14ac:dyDescent="0.25">
      <c r="A329" s="63"/>
      <c r="B329" s="48">
        <v>44148</v>
      </c>
      <c r="C329">
        <f>+SUMIFS(Ventas2020!$I:$I,Ventas2020!$B:$B,'Tendencia Diaria'!B329)</f>
        <v>36132.85</v>
      </c>
      <c r="D329">
        <f>+SUMIFS(Ventas2020!$N:$N,Ventas2020!$B:$B,'Tendencia Diaria'!B329)</f>
        <v>4679.786666666665</v>
      </c>
      <c r="E329" s="23">
        <f t="shared" si="14"/>
        <v>0.12951612360128428</v>
      </c>
    </row>
    <row r="330" spans="1:5" x14ac:dyDescent="0.25">
      <c r="A330" s="63"/>
      <c r="B330" s="48">
        <v>44149</v>
      </c>
      <c r="C330">
        <f>+SUMIFS(Ventas2020!$I:$I,Ventas2020!$B:$B,'Tendencia Diaria'!B330)</f>
        <v>24594.6</v>
      </c>
      <c r="D330">
        <f ca="1">+SUMIFS(Ventas2020!$N:$N,Ventas2020!$B:$B,'Tendencia Diaria'!B330)</f>
        <v>4043.32</v>
      </c>
      <c r="E330" s="23">
        <f t="shared" ca="1" si="14"/>
        <v>0.16439868914314526</v>
      </c>
    </row>
    <row r="331" spans="1:5" x14ac:dyDescent="0.25">
      <c r="A331" s="63"/>
      <c r="B331" s="48">
        <v>44150</v>
      </c>
      <c r="C331">
        <f>+SUMIFS(Ventas2020!$I:$I,Ventas2020!$B:$B,'Tendencia Diaria'!B331)</f>
        <v>0</v>
      </c>
      <c r="D331">
        <f>+SUMIFS(Ventas2020!$N:$N,Ventas2020!$B:$B,'Tendencia Diaria'!B331)</f>
        <v>0</v>
      </c>
      <c r="E331" s="23" t="e">
        <f t="shared" si="14"/>
        <v>#DIV/0!</v>
      </c>
    </row>
    <row r="332" spans="1:5" x14ac:dyDescent="0.25">
      <c r="A332" s="63"/>
      <c r="B332" s="48">
        <v>44151</v>
      </c>
      <c r="C332">
        <f>+SUMIFS(Ventas2020!$I:$I,Ventas2020!$B:$B,'Tendencia Diaria'!B332)</f>
        <v>6115.8</v>
      </c>
      <c r="D332">
        <f>+SUMIFS(Ventas2020!$N:$N,Ventas2020!$B:$B,'Tendencia Diaria'!B332)</f>
        <v>890.30666666666662</v>
      </c>
      <c r="E332" s="23">
        <f t="shared" si="14"/>
        <v>0.14557484984248448</v>
      </c>
    </row>
    <row r="333" spans="1:5" x14ac:dyDescent="0.25">
      <c r="A333" s="63"/>
      <c r="B333" s="48">
        <v>44152</v>
      </c>
      <c r="C333">
        <f>+SUMIFS(Ventas2020!$I:$I,Ventas2020!$B:$B,'Tendencia Diaria'!B333)</f>
        <v>23557.1</v>
      </c>
      <c r="D333">
        <f>+SUMIFS(Ventas2020!$N:$N,Ventas2020!$B:$B,'Tendencia Diaria'!B333)</f>
        <v>2988.54</v>
      </c>
      <c r="E333" s="23">
        <f t="shared" si="14"/>
        <v>0.12686366318434783</v>
      </c>
    </row>
    <row r="334" spans="1:5" x14ac:dyDescent="0.25">
      <c r="A334" s="63"/>
      <c r="B334" s="48">
        <v>44153</v>
      </c>
      <c r="C334">
        <f>+SUMIFS(Ventas2020!$I:$I,Ventas2020!$B:$B,'Tendencia Diaria'!B334)</f>
        <v>2891.7</v>
      </c>
      <c r="D334">
        <f>+SUMIFS(Ventas2020!$N:$N,Ventas2020!$B:$B,'Tendencia Diaria'!B334)</f>
        <v>596.04999999999995</v>
      </c>
      <c r="E334" s="23">
        <f t="shared" si="14"/>
        <v>0.20612442507867343</v>
      </c>
    </row>
    <row r="335" spans="1:5" x14ac:dyDescent="0.25">
      <c r="A335" s="63"/>
      <c r="B335" s="48">
        <v>44154</v>
      </c>
      <c r="C335">
        <f>+SUMIFS(Ventas2020!$I:$I,Ventas2020!$B:$B,'Tendencia Diaria'!B335)</f>
        <v>21055.855555555558</v>
      </c>
      <c r="D335">
        <f>+SUMIFS(Ventas2020!$N:$N,Ventas2020!$B:$B,'Tendencia Diaria'!B335)</f>
        <v>2759.7277777777776</v>
      </c>
      <c r="E335" s="23">
        <f t="shared" si="14"/>
        <v>0.13106699799000224</v>
      </c>
    </row>
    <row r="336" spans="1:5" x14ac:dyDescent="0.25">
      <c r="A336" s="63"/>
      <c r="B336" s="48">
        <v>44155</v>
      </c>
      <c r="C336">
        <f>+SUMIFS(Ventas2020!$I:$I,Ventas2020!$B:$B,'Tendencia Diaria'!B336)</f>
        <v>22460.588235294119</v>
      </c>
      <c r="D336">
        <f ca="1">+SUMIFS(Ventas2020!$N:$N,Ventas2020!$B:$B,'Tendencia Diaria'!B336)</f>
        <v>3341.5294117647059</v>
      </c>
      <c r="E336" s="23">
        <f t="shared" ca="1" si="14"/>
        <v>0.14877301416860905</v>
      </c>
    </row>
    <row r="337" spans="1:5" x14ac:dyDescent="0.25">
      <c r="A337" s="63"/>
      <c r="B337" s="48">
        <v>44156</v>
      </c>
      <c r="C337">
        <f>+SUMIFS(Ventas2020!$I:$I,Ventas2020!$B:$B,'Tendencia Diaria'!B337)</f>
        <v>3618.2186274509804</v>
      </c>
      <c r="D337">
        <f>+SUMIFS(Ventas2020!$N:$N,Ventas2020!$B:$B,'Tendencia Diaria'!B337)</f>
        <v>519.69509803921574</v>
      </c>
      <c r="E337" s="23">
        <f t="shared" si="14"/>
        <v>0.14363286234180347</v>
      </c>
    </row>
    <row r="338" spans="1:5" x14ac:dyDescent="0.25">
      <c r="A338" s="63"/>
      <c r="B338" s="48">
        <v>44157</v>
      </c>
      <c r="C338">
        <f>+SUMIFS(Ventas2020!$I:$I,Ventas2020!$B:$B,'Tendencia Diaria'!B338)</f>
        <v>0</v>
      </c>
      <c r="D338">
        <f>+SUMIFS(Ventas2020!$N:$N,Ventas2020!$B:$B,'Tendencia Diaria'!B338)</f>
        <v>0</v>
      </c>
      <c r="E338" s="23" t="e">
        <f t="shared" si="14"/>
        <v>#DIV/0!</v>
      </c>
    </row>
    <row r="339" spans="1:5" x14ac:dyDescent="0.25">
      <c r="A339" s="63"/>
      <c r="B339" s="48">
        <v>44158</v>
      </c>
      <c r="C339">
        <f>+SUMIFS(Ventas2020!$I:$I,Ventas2020!$B:$B,'Tendencia Diaria'!B339)</f>
        <v>11422.777777777777</v>
      </c>
      <c r="D339">
        <f>+SUMIFS(Ventas2020!$N:$N,Ventas2020!$B:$B,'Tendencia Diaria'!B339)</f>
        <v>1767.2777777777778</v>
      </c>
      <c r="E339" s="23">
        <f t="shared" si="14"/>
        <v>0.15471523758572056</v>
      </c>
    </row>
    <row r="340" spans="1:5" x14ac:dyDescent="0.25">
      <c r="A340" s="63"/>
      <c r="B340" s="48">
        <v>44159</v>
      </c>
      <c r="C340">
        <f>+SUMIFS(Ventas2020!$I:$I,Ventas2020!$B:$B,'Tendencia Diaria'!B340)</f>
        <v>65756.399999999994</v>
      </c>
      <c r="D340">
        <f ca="1">+SUMIFS(Ventas2020!$N:$N,Ventas2020!$B:$B,'Tendencia Diaria'!B340)</f>
        <v>7983.8266666666677</v>
      </c>
      <c r="E340" s="23">
        <f t="shared" ca="1" si="14"/>
        <v>0.12141520318427816</v>
      </c>
    </row>
    <row r="341" spans="1:5" x14ac:dyDescent="0.25">
      <c r="A341" s="63"/>
      <c r="B341" s="48">
        <v>44160</v>
      </c>
      <c r="C341">
        <f>+SUMIFS(Ventas2020!$I:$I,Ventas2020!$B:$B,'Tendencia Diaria'!B341)</f>
        <v>41752.444444444438</v>
      </c>
      <c r="D341">
        <f>+SUMIFS(Ventas2020!$N:$N,Ventas2020!$B:$B,'Tendencia Diaria'!B341)</f>
        <v>5638.1777777777779</v>
      </c>
      <c r="E341" s="23">
        <f t="shared" si="14"/>
        <v>0.13503826788584569</v>
      </c>
    </row>
    <row r="342" spans="1:5" x14ac:dyDescent="0.25">
      <c r="A342" s="63"/>
      <c r="B342" s="48">
        <v>44161</v>
      </c>
      <c r="C342">
        <f>+SUMIFS(Ventas2020!$I:$I,Ventas2020!$B:$B,'Tendencia Diaria'!B342)</f>
        <v>14617.5</v>
      </c>
      <c r="D342">
        <f ca="1">+SUMIFS(Ventas2020!$N:$N,Ventas2020!$B:$B,'Tendencia Diaria'!B342)</f>
        <v>2087.666666666667</v>
      </c>
      <c r="E342" s="23">
        <f t="shared" ca="1" si="14"/>
        <v>0.14281967960777608</v>
      </c>
    </row>
    <row r="343" spans="1:5" x14ac:dyDescent="0.25">
      <c r="A343" s="63"/>
      <c r="B343" s="48">
        <v>44162</v>
      </c>
      <c r="C343">
        <f>+SUMIFS(Ventas2020!$I:$I,Ventas2020!$B:$B,'Tendencia Diaria'!B343)</f>
        <v>19298.088235294119</v>
      </c>
      <c r="D343">
        <f ca="1">+SUMIFS(Ventas2020!$N:$N,Ventas2020!$B:$B,'Tendencia Diaria'!B343)</f>
        <v>3826.8227450980394</v>
      </c>
      <c r="E343" s="23">
        <f t="shared" ca="1" si="14"/>
        <v>0.19830061394885706</v>
      </c>
    </row>
    <row r="344" spans="1:5" x14ac:dyDescent="0.25">
      <c r="A344" s="63"/>
      <c r="B344" s="48">
        <v>44163</v>
      </c>
      <c r="C344">
        <f>+SUMIFS(Ventas2020!$I:$I,Ventas2020!$B:$B,'Tendencia Diaria'!B344)</f>
        <v>33962.5</v>
      </c>
      <c r="D344">
        <f ca="1">+SUMIFS(Ventas2020!$N:$N,Ventas2020!$B:$B,'Tendencia Diaria'!B344)</f>
        <v>5885.5000000000009</v>
      </c>
      <c r="E344" s="23">
        <f t="shared" ca="1" si="14"/>
        <v>0.17329407434670596</v>
      </c>
    </row>
    <row r="345" spans="1:5" x14ac:dyDescent="0.25">
      <c r="A345" s="63"/>
      <c r="B345" s="48">
        <v>44164</v>
      </c>
      <c r="C345">
        <f>+SUMIFS(Ventas2020!$I:$I,Ventas2020!$B:$B,'Tendencia Diaria'!B345)</f>
        <v>0</v>
      </c>
      <c r="D345">
        <f>+SUMIFS(Ventas2020!$N:$N,Ventas2020!$B:$B,'Tendencia Diaria'!B345)</f>
        <v>0</v>
      </c>
      <c r="E345" s="23" t="e">
        <f t="shared" si="14"/>
        <v>#DIV/0!</v>
      </c>
    </row>
    <row r="346" spans="1:5" ht="15.75" thickBot="1" x14ac:dyDescent="0.3">
      <c r="A346" s="63"/>
      <c r="B346" s="48">
        <v>44165</v>
      </c>
      <c r="C346">
        <f>+SUMIFS(Ventas2020!$I:$I,Ventas2020!$B:$B,'Tendencia Diaria'!B346)</f>
        <v>48477.95</v>
      </c>
      <c r="D346">
        <f ca="1">+SUMIFS(Ventas2020!$N:$N,Ventas2020!$B:$B,'Tendencia Diaria'!B346)</f>
        <v>6337.1933333333336</v>
      </c>
      <c r="E346" s="23">
        <f t="shared" ca="1" si="14"/>
        <v>0.13072321196200198</v>
      </c>
    </row>
    <row r="347" spans="1:5" ht="16.5" thickTop="1" thickBot="1" x14ac:dyDescent="0.3">
      <c r="A347" s="61" t="s">
        <v>5</v>
      </c>
      <c r="B347" s="61"/>
      <c r="C347" s="36">
        <f>SUM(C317:C346)</f>
        <v>582297.55836601299</v>
      </c>
      <c r="D347" s="36">
        <f ca="1">SUM(D317:D346)</f>
        <v>81362.110640522878</v>
      </c>
      <c r="E347" s="37">
        <f t="shared" ca="1" si="14"/>
        <v>0.1397260034351395</v>
      </c>
    </row>
    <row r="348" spans="1:5" ht="15.75" thickTop="1" x14ac:dyDescent="0.25">
      <c r="A348" s="63" t="s">
        <v>162</v>
      </c>
      <c r="B348" s="48">
        <v>44166</v>
      </c>
      <c r="C348">
        <f>+SUMIFS(Ventas2020!$I:$I,Ventas2020!$B:$B,'Tendencia Diaria'!B348)</f>
        <v>12748.75</v>
      </c>
      <c r="D348">
        <f ca="1">+SUMIFS(Ventas2020!$N:$N,Ventas2020!$B:$B,'Tendencia Diaria'!B348)</f>
        <v>1474.2286666666669</v>
      </c>
      <c r="E348" s="23">
        <f t="shared" ca="1" si="14"/>
        <v>0.11563711474981209</v>
      </c>
    </row>
    <row r="349" spans="1:5" x14ac:dyDescent="0.25">
      <c r="A349" s="63"/>
      <c r="B349" s="48">
        <v>44167</v>
      </c>
      <c r="C349">
        <f>+SUMIFS(Ventas2020!$I:$I,Ventas2020!$B:$B,'Tendencia Diaria'!B349)</f>
        <v>10310</v>
      </c>
      <c r="D349">
        <f>+SUMIFS(Ventas2020!$N:$N,Ventas2020!$B:$B,'Tendencia Diaria'!B349)</f>
        <v>1568.3333333333333</v>
      </c>
      <c r="E349" s="23">
        <f t="shared" si="14"/>
        <v>0.15211768509537665</v>
      </c>
    </row>
    <row r="350" spans="1:5" x14ac:dyDescent="0.25">
      <c r="A350" s="63"/>
      <c r="B350" s="48">
        <v>44168</v>
      </c>
      <c r="C350">
        <f>+SUMIFS(Ventas2020!$I:$I,Ventas2020!$B:$B,'Tendencia Diaria'!B350)</f>
        <v>22874.991496598643</v>
      </c>
      <c r="D350">
        <f ca="1">+SUMIFS(Ventas2020!$N:$N,Ventas2020!$B:$B,'Tendencia Diaria'!B350)</f>
        <v>4358.646780045352</v>
      </c>
      <c r="E350" s="23">
        <f t="shared" ca="1" si="14"/>
        <v>0.19054200657051407</v>
      </c>
    </row>
    <row r="351" spans="1:5" x14ac:dyDescent="0.25">
      <c r="A351" s="63"/>
      <c r="B351" s="48">
        <v>44169</v>
      </c>
      <c r="C351">
        <f>+SUMIFS(Ventas2020!$I:$I,Ventas2020!$B:$B,'Tendencia Diaria'!B351)</f>
        <v>17118.883333333331</v>
      </c>
      <c r="D351">
        <f ca="1">+SUMIFS(Ventas2020!$N:$N,Ventas2020!$B:$B,'Tendencia Diaria'!B351)</f>
        <v>2285.5355555555557</v>
      </c>
      <c r="E351" s="23">
        <f t="shared" ca="1" si="14"/>
        <v>0.13350961689803886</v>
      </c>
    </row>
    <row r="352" spans="1:5" x14ac:dyDescent="0.25">
      <c r="A352" s="63"/>
      <c r="B352" s="48">
        <v>44170</v>
      </c>
      <c r="C352">
        <f>+SUMIFS(Ventas2020!$I:$I,Ventas2020!$B:$B,'Tendencia Diaria'!B352)</f>
        <v>25680</v>
      </c>
      <c r="D352">
        <f ca="1">+SUMIFS(Ventas2020!$N:$N,Ventas2020!$B:$B,'Tendencia Diaria'!B352)</f>
        <v>3580.3684444444439</v>
      </c>
      <c r="E352" s="23">
        <f t="shared" ca="1" si="14"/>
        <v>0.1394224472135687</v>
      </c>
    </row>
    <row r="353" spans="1:5" x14ac:dyDescent="0.25">
      <c r="A353" s="63"/>
      <c r="B353" s="48">
        <v>44171</v>
      </c>
      <c r="C353">
        <f>+SUMIFS(Ventas2020!$I:$I,Ventas2020!$B:$B,'Tendencia Diaria'!B353)</f>
        <v>0</v>
      </c>
      <c r="D353">
        <f>+SUMIFS(Ventas2020!$N:$N,Ventas2020!$B:$B,'Tendencia Diaria'!B353)</f>
        <v>0</v>
      </c>
      <c r="E353" s="23" t="e">
        <f t="shared" si="14"/>
        <v>#DIV/0!</v>
      </c>
    </row>
    <row r="354" spans="1:5" x14ac:dyDescent="0.25">
      <c r="A354" s="63"/>
      <c r="B354" s="48">
        <v>44172</v>
      </c>
      <c r="C354">
        <f>+SUMIFS(Ventas2020!$I:$I,Ventas2020!$B:$B,'Tendencia Diaria'!B354)</f>
        <v>33777.82</v>
      </c>
      <c r="D354">
        <f ca="1">+SUMIFS(Ventas2020!$N:$N,Ventas2020!$B:$B,'Tendencia Diaria'!B354)</f>
        <v>6060.5690666666651</v>
      </c>
      <c r="E354" s="23">
        <f t="shared" ca="1" si="14"/>
        <v>0.17942451782461583</v>
      </c>
    </row>
    <row r="355" spans="1:5" x14ac:dyDescent="0.25">
      <c r="A355" s="63"/>
      <c r="B355" s="48">
        <v>44173</v>
      </c>
      <c r="C355">
        <f>+SUMIFS(Ventas2020!$I:$I,Ventas2020!$B:$B,'Tendencia Diaria'!B355)</f>
        <v>0</v>
      </c>
      <c r="D355">
        <f>+SUMIFS(Ventas2020!$N:$N,Ventas2020!$B:$B,'Tendencia Diaria'!B355)</f>
        <v>0</v>
      </c>
      <c r="E355" s="23" t="e">
        <f t="shared" si="14"/>
        <v>#DIV/0!</v>
      </c>
    </row>
    <row r="356" spans="1:5" x14ac:dyDescent="0.25">
      <c r="A356" s="63"/>
      <c r="B356" s="48">
        <v>44174</v>
      </c>
      <c r="C356">
        <f>+SUMIFS(Ventas2020!$I:$I,Ventas2020!$B:$B,'Tendencia Diaria'!B356)</f>
        <v>20085</v>
      </c>
      <c r="D356">
        <f ca="1">+SUMIFS(Ventas2020!$N:$N,Ventas2020!$B:$B,'Tendencia Diaria'!B356)</f>
        <v>2960.2433333333333</v>
      </c>
      <c r="E356" s="23">
        <f t="shared" ca="1" si="14"/>
        <v>0.14738577711393244</v>
      </c>
    </row>
    <row r="357" spans="1:5" x14ac:dyDescent="0.25">
      <c r="A357" s="63"/>
      <c r="B357" s="48">
        <v>44175</v>
      </c>
      <c r="C357">
        <f>+SUMIFS(Ventas2020!$I:$I,Ventas2020!$B:$B,'Tendencia Diaria'!B357)</f>
        <v>33713.5</v>
      </c>
      <c r="D357">
        <f ca="1">+SUMIFS(Ventas2020!$N:$N,Ventas2020!$B:$B,'Tendencia Diaria'!B357)</f>
        <v>4281.12</v>
      </c>
      <c r="E357" s="23">
        <f t="shared" ca="1" si="14"/>
        <v>0.1269853322852863</v>
      </c>
    </row>
    <row r="358" spans="1:5" x14ac:dyDescent="0.25">
      <c r="A358" s="63"/>
      <c r="B358" s="48">
        <v>44176</v>
      </c>
      <c r="C358">
        <f>+SUMIFS(Ventas2020!$I:$I,Ventas2020!$B:$B,'Tendencia Diaria'!B358)</f>
        <v>28917.916666666668</v>
      </c>
      <c r="D358">
        <f ca="1">+SUMIFS(Ventas2020!$N:$N,Ventas2020!$B:$B,'Tendencia Diaria'!B358)</f>
        <v>3747.0544444444445</v>
      </c>
      <c r="E358" s="23">
        <f t="shared" ca="1" si="14"/>
        <v>0.1295755322776633</v>
      </c>
    </row>
    <row r="359" spans="1:5" x14ac:dyDescent="0.25">
      <c r="A359" s="63"/>
      <c r="B359" s="48">
        <v>44177</v>
      </c>
      <c r="C359">
        <f>+SUMIFS(Ventas2020!$I:$I,Ventas2020!$B:$B,'Tendencia Diaria'!B359)</f>
        <v>15613.833333333332</v>
      </c>
      <c r="D359">
        <f ca="1">+SUMIFS(Ventas2020!$N:$N,Ventas2020!$B:$B,'Tendencia Diaria'!B359)</f>
        <v>2005.7288888888893</v>
      </c>
      <c r="E359" s="23">
        <f t="shared" ca="1" si="14"/>
        <v>0.12845845386391699</v>
      </c>
    </row>
    <row r="360" spans="1:5" x14ac:dyDescent="0.25">
      <c r="A360" s="63"/>
      <c r="B360" s="48">
        <v>44178</v>
      </c>
      <c r="C360">
        <f>+SUMIFS(Ventas2020!$I:$I,Ventas2020!$B:$B,'Tendencia Diaria'!B360)</f>
        <v>0</v>
      </c>
      <c r="D360">
        <f>+SUMIFS(Ventas2020!$N:$N,Ventas2020!$B:$B,'Tendencia Diaria'!B360)</f>
        <v>0</v>
      </c>
      <c r="E360" s="23" t="e">
        <f t="shared" si="14"/>
        <v>#DIV/0!</v>
      </c>
    </row>
    <row r="361" spans="1:5" x14ac:dyDescent="0.25">
      <c r="A361" s="63"/>
      <c r="B361" s="48">
        <v>44179</v>
      </c>
      <c r="C361">
        <f>+SUMIFS(Ventas2020!$I:$I,Ventas2020!$B:$B,'Tendencia Diaria'!B361)</f>
        <v>0</v>
      </c>
      <c r="D361">
        <f>+SUMIFS(Ventas2020!$N:$N,Ventas2020!$B:$B,'Tendencia Diaria'!B361)</f>
        <v>0</v>
      </c>
      <c r="E361" s="23" t="e">
        <f t="shared" si="14"/>
        <v>#DIV/0!</v>
      </c>
    </row>
    <row r="362" spans="1:5" x14ac:dyDescent="0.25">
      <c r="A362" s="63"/>
      <c r="B362" s="48">
        <v>44180</v>
      </c>
      <c r="C362">
        <f>+SUMIFS(Ventas2020!$I:$I,Ventas2020!$B:$B,'Tendencia Diaria'!B362)</f>
        <v>0</v>
      </c>
      <c r="D362">
        <f>+SUMIFS(Ventas2020!$N:$N,Ventas2020!$B:$B,'Tendencia Diaria'!B362)</f>
        <v>0</v>
      </c>
      <c r="E362" s="23" t="e">
        <f t="shared" si="14"/>
        <v>#DIV/0!</v>
      </c>
    </row>
    <row r="363" spans="1:5" x14ac:dyDescent="0.25">
      <c r="A363" s="63"/>
      <c r="B363" s="48">
        <v>44181</v>
      </c>
      <c r="C363">
        <f>+SUMIFS(Ventas2020!$I:$I,Ventas2020!$B:$B,'Tendencia Diaria'!B363)</f>
        <v>0</v>
      </c>
      <c r="D363">
        <f>+SUMIFS(Ventas2020!$N:$N,Ventas2020!$B:$B,'Tendencia Diaria'!B363)</f>
        <v>0</v>
      </c>
      <c r="E363" s="23" t="e">
        <f t="shared" si="14"/>
        <v>#DIV/0!</v>
      </c>
    </row>
    <row r="364" spans="1:5" x14ac:dyDescent="0.25">
      <c r="A364" s="63"/>
      <c r="B364" s="48">
        <v>44182</v>
      </c>
      <c r="C364">
        <f>+SUMIFS(Ventas2020!$I:$I,Ventas2020!$B:$B,'Tendencia Diaria'!B364)</f>
        <v>0</v>
      </c>
      <c r="D364">
        <f>+SUMIFS(Ventas2020!$N:$N,Ventas2020!$B:$B,'Tendencia Diaria'!B364)</f>
        <v>0</v>
      </c>
      <c r="E364" s="23" t="e">
        <f t="shared" si="14"/>
        <v>#DIV/0!</v>
      </c>
    </row>
    <row r="365" spans="1:5" x14ac:dyDescent="0.25">
      <c r="A365" s="63"/>
      <c r="B365" s="48">
        <v>44183</v>
      </c>
      <c r="C365">
        <f>+SUMIFS(Ventas2020!$I:$I,Ventas2020!$B:$B,'Tendencia Diaria'!B365)</f>
        <v>0</v>
      </c>
      <c r="D365">
        <f>+SUMIFS(Ventas2020!$N:$N,Ventas2020!$B:$B,'Tendencia Diaria'!B365)</f>
        <v>0</v>
      </c>
      <c r="E365" s="23" t="e">
        <f t="shared" si="14"/>
        <v>#DIV/0!</v>
      </c>
    </row>
    <row r="366" spans="1:5" x14ac:dyDescent="0.25">
      <c r="A366" s="63"/>
      <c r="B366" s="48">
        <v>44184</v>
      </c>
      <c r="C366">
        <f>+SUMIFS(Ventas2020!$I:$I,Ventas2020!$B:$B,'Tendencia Diaria'!B366)</f>
        <v>0</v>
      </c>
      <c r="D366">
        <f>+SUMIFS(Ventas2020!$N:$N,Ventas2020!$B:$B,'Tendencia Diaria'!B366)</f>
        <v>0</v>
      </c>
      <c r="E366" s="23" t="e">
        <f t="shared" si="14"/>
        <v>#DIV/0!</v>
      </c>
    </row>
    <row r="367" spans="1:5" x14ac:dyDescent="0.25">
      <c r="A367" s="63"/>
      <c r="B367" s="48">
        <v>44185</v>
      </c>
      <c r="C367">
        <f>+SUMIFS(Ventas2020!$I:$I,Ventas2020!$B:$B,'Tendencia Diaria'!B367)</f>
        <v>0</v>
      </c>
      <c r="D367">
        <f>+SUMIFS(Ventas2020!$N:$N,Ventas2020!$B:$B,'Tendencia Diaria'!B367)</f>
        <v>0</v>
      </c>
      <c r="E367" s="23" t="e">
        <f t="shared" si="14"/>
        <v>#DIV/0!</v>
      </c>
    </row>
    <row r="368" spans="1:5" x14ac:dyDescent="0.25">
      <c r="A368" s="63"/>
      <c r="B368" s="48">
        <v>44186</v>
      </c>
      <c r="C368">
        <f>+SUMIFS(Ventas2020!$I:$I,Ventas2020!$B:$B,'Tendencia Diaria'!B368)</f>
        <v>0</v>
      </c>
      <c r="D368">
        <f>+SUMIFS(Ventas2020!$N:$N,Ventas2020!$B:$B,'Tendencia Diaria'!B368)</f>
        <v>0</v>
      </c>
      <c r="E368" s="23" t="e">
        <f t="shared" si="14"/>
        <v>#DIV/0!</v>
      </c>
    </row>
    <row r="369" spans="1:5" x14ac:dyDescent="0.25">
      <c r="A369" s="63"/>
      <c r="B369" s="48">
        <v>44187</v>
      </c>
      <c r="C369">
        <f>+SUMIFS(Ventas2020!$I:$I,Ventas2020!$B:$B,'Tendencia Diaria'!B369)</f>
        <v>0</v>
      </c>
      <c r="D369">
        <f>+SUMIFS(Ventas2020!$N:$N,Ventas2020!$B:$B,'Tendencia Diaria'!B369)</f>
        <v>0</v>
      </c>
      <c r="E369" s="23" t="e">
        <f t="shared" si="14"/>
        <v>#DIV/0!</v>
      </c>
    </row>
    <row r="370" spans="1:5" x14ac:dyDescent="0.25">
      <c r="A370" s="63"/>
      <c r="B370" s="48">
        <v>44188</v>
      </c>
      <c r="C370">
        <f>+SUMIFS(Ventas2020!$I:$I,Ventas2020!$B:$B,'Tendencia Diaria'!B370)</f>
        <v>0</v>
      </c>
      <c r="D370">
        <f>+SUMIFS(Ventas2020!$N:$N,Ventas2020!$B:$B,'Tendencia Diaria'!B370)</f>
        <v>0</v>
      </c>
      <c r="E370" s="23" t="e">
        <f t="shared" si="14"/>
        <v>#DIV/0!</v>
      </c>
    </row>
    <row r="371" spans="1:5" x14ac:dyDescent="0.25">
      <c r="A371" s="63"/>
      <c r="B371" s="48">
        <v>44189</v>
      </c>
      <c r="C371">
        <f>+SUMIFS(Ventas2020!$I:$I,Ventas2020!$B:$B,'Tendencia Diaria'!B371)</f>
        <v>0</v>
      </c>
      <c r="D371">
        <f>+SUMIFS(Ventas2020!$N:$N,Ventas2020!$B:$B,'Tendencia Diaria'!B371)</f>
        <v>0</v>
      </c>
      <c r="E371" s="23" t="e">
        <f t="shared" si="14"/>
        <v>#DIV/0!</v>
      </c>
    </row>
    <row r="372" spans="1:5" x14ac:dyDescent="0.25">
      <c r="A372" s="63"/>
      <c r="B372" s="48">
        <v>44190</v>
      </c>
      <c r="C372">
        <f>+SUMIFS(Ventas2020!$I:$I,Ventas2020!$B:$B,'Tendencia Diaria'!B372)</f>
        <v>0</v>
      </c>
      <c r="D372">
        <f>+SUMIFS(Ventas2020!$N:$N,Ventas2020!$B:$B,'Tendencia Diaria'!B372)</f>
        <v>0</v>
      </c>
      <c r="E372" s="23" t="e">
        <f t="shared" si="14"/>
        <v>#DIV/0!</v>
      </c>
    </row>
    <row r="373" spans="1:5" x14ac:dyDescent="0.25">
      <c r="A373" s="63"/>
      <c r="B373" s="48">
        <v>44191</v>
      </c>
      <c r="C373">
        <f>+SUMIFS(Ventas2020!$I:$I,Ventas2020!$B:$B,'Tendencia Diaria'!B373)</f>
        <v>0</v>
      </c>
      <c r="D373">
        <f>+SUMIFS(Ventas2020!$N:$N,Ventas2020!$B:$B,'Tendencia Diaria'!B373)</f>
        <v>0</v>
      </c>
      <c r="E373" s="23" t="e">
        <f t="shared" si="14"/>
        <v>#DIV/0!</v>
      </c>
    </row>
    <row r="374" spans="1:5" x14ac:dyDescent="0.25">
      <c r="A374" s="63"/>
      <c r="B374" s="48">
        <v>44192</v>
      </c>
      <c r="C374">
        <f>+SUMIFS(Ventas2020!$I:$I,Ventas2020!$B:$B,'Tendencia Diaria'!B374)</f>
        <v>0</v>
      </c>
      <c r="D374">
        <f>+SUMIFS(Ventas2020!$N:$N,Ventas2020!$B:$B,'Tendencia Diaria'!B374)</f>
        <v>0</v>
      </c>
      <c r="E374" s="23" t="e">
        <f t="shared" si="14"/>
        <v>#DIV/0!</v>
      </c>
    </row>
    <row r="375" spans="1:5" x14ac:dyDescent="0.25">
      <c r="A375" s="63"/>
      <c r="B375" s="48">
        <v>44193</v>
      </c>
      <c r="C375">
        <f>+SUMIFS(Ventas2020!$I:$I,Ventas2020!$B:$B,'Tendencia Diaria'!B375)</f>
        <v>0</v>
      </c>
      <c r="D375">
        <f>+SUMIFS(Ventas2020!$N:$N,Ventas2020!$B:$B,'Tendencia Diaria'!B375)</f>
        <v>0</v>
      </c>
      <c r="E375" s="23" t="e">
        <f t="shared" si="14"/>
        <v>#DIV/0!</v>
      </c>
    </row>
    <row r="376" spans="1:5" x14ac:dyDescent="0.25">
      <c r="A376" s="63"/>
      <c r="B376" s="48">
        <v>44194</v>
      </c>
      <c r="C376">
        <f>+SUMIFS(Ventas2020!$I:$I,Ventas2020!$B:$B,'Tendencia Diaria'!B376)</f>
        <v>0</v>
      </c>
      <c r="D376">
        <f>+SUMIFS(Ventas2020!$N:$N,Ventas2020!$B:$B,'Tendencia Diaria'!B376)</f>
        <v>0</v>
      </c>
      <c r="E376" s="23" t="e">
        <f t="shared" si="14"/>
        <v>#DIV/0!</v>
      </c>
    </row>
    <row r="377" spans="1:5" x14ac:dyDescent="0.25">
      <c r="A377" s="63"/>
      <c r="B377" s="48">
        <v>44195</v>
      </c>
      <c r="C377">
        <f>+SUMIFS(Ventas2020!$I:$I,Ventas2020!$B:$B,'Tendencia Diaria'!B377)</f>
        <v>0</v>
      </c>
      <c r="D377">
        <f>+SUMIFS(Ventas2020!$N:$N,Ventas2020!$B:$B,'Tendencia Diaria'!B377)</f>
        <v>0</v>
      </c>
      <c r="E377" s="23" t="e">
        <f t="shared" si="14"/>
        <v>#DIV/0!</v>
      </c>
    </row>
    <row r="378" spans="1:5" ht="15.75" thickBot="1" x14ac:dyDescent="0.3">
      <c r="A378" s="63"/>
      <c r="B378" s="48">
        <v>44196</v>
      </c>
      <c r="C378">
        <f>+SUMIFS(Ventas2020!$I:$I,Ventas2020!$B:$B,'Tendencia Diaria'!B378)</f>
        <v>0</v>
      </c>
      <c r="D378">
        <f>+SUMIFS(Ventas2020!$N:$N,Ventas2020!$B:$B,'Tendencia Diaria'!B378)</f>
        <v>0</v>
      </c>
      <c r="E378" s="23" t="e">
        <f t="shared" si="14"/>
        <v>#DIV/0!</v>
      </c>
    </row>
    <row r="379" spans="1:5" ht="16.5" thickTop="1" thickBot="1" x14ac:dyDescent="0.3">
      <c r="A379" s="61" t="s">
        <v>5</v>
      </c>
      <c r="B379" s="61"/>
      <c r="C379" s="36">
        <f>SUM(C348:C378)</f>
        <v>220840.69482993198</v>
      </c>
      <c r="D379" s="36">
        <f ca="1">SUM(D348:D378)</f>
        <v>32321.828513378685</v>
      </c>
      <c r="E379" s="37">
        <f t="shared" ca="1" si="14"/>
        <v>0.14635811818229208</v>
      </c>
    </row>
    <row r="380" spans="1:5" ht="15.75" thickTop="1" x14ac:dyDescent="0.25"/>
  </sheetData>
  <mergeCells count="24">
    <mergeCell ref="A379:B379"/>
    <mergeCell ref="A190:A220"/>
    <mergeCell ref="A221:B221"/>
    <mergeCell ref="A222:A252"/>
    <mergeCell ref="A253:B253"/>
    <mergeCell ref="A254:A283"/>
    <mergeCell ref="A284:B284"/>
    <mergeCell ref="A285:A315"/>
    <mergeCell ref="A316:B316"/>
    <mergeCell ref="A317:A346"/>
    <mergeCell ref="A347:B347"/>
    <mergeCell ref="A348:A378"/>
    <mergeCell ref="A189:B189"/>
    <mergeCell ref="A2:A32"/>
    <mergeCell ref="A34:A62"/>
    <mergeCell ref="A63:B63"/>
    <mergeCell ref="A95:B95"/>
    <mergeCell ref="A64:A94"/>
    <mergeCell ref="A33:B33"/>
    <mergeCell ref="A96:A125"/>
    <mergeCell ref="A126:B126"/>
    <mergeCell ref="A127:A157"/>
    <mergeCell ref="A158:B158"/>
    <mergeCell ref="A159:A188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pane ySplit="1" topLeftCell="A56" activePane="bottomLeft" state="frozen"/>
      <selection pane="bottomLeft" activeCell="J67" sqref="J67"/>
    </sheetView>
  </sheetViews>
  <sheetFormatPr baseColWidth="10" defaultRowHeight="15" x14ac:dyDescent="0.25"/>
  <cols>
    <col min="4" max="6" width="25.7109375" customWidth="1"/>
    <col min="10" max="10" width="12.7109375" bestFit="1" customWidth="1"/>
    <col min="11" max="11" width="12.140625" bestFit="1" customWidth="1"/>
  </cols>
  <sheetData>
    <row r="1" spans="1:11" ht="15.75" thickBot="1" x14ac:dyDescent="0.3">
      <c r="A1" s="20" t="s">
        <v>7</v>
      </c>
      <c r="B1" s="74" t="s">
        <v>308</v>
      </c>
      <c r="C1" s="75"/>
      <c r="D1" s="20" t="s">
        <v>199</v>
      </c>
      <c r="E1" s="21" t="s">
        <v>11</v>
      </c>
      <c r="F1" s="22" t="s">
        <v>307</v>
      </c>
      <c r="G1" s="71" t="s">
        <v>353</v>
      </c>
      <c r="H1" s="22" t="s">
        <v>7</v>
      </c>
      <c r="I1" s="22" t="s">
        <v>199</v>
      </c>
      <c r="J1" s="22" t="s">
        <v>472</v>
      </c>
      <c r="K1" s="22" t="s">
        <v>307</v>
      </c>
    </row>
    <row r="2" spans="1:11" x14ac:dyDescent="0.25">
      <c r="A2" s="62" t="s">
        <v>8</v>
      </c>
      <c r="B2" s="16">
        <v>43832</v>
      </c>
      <c r="C2" s="15">
        <v>43834</v>
      </c>
      <c r="D2">
        <f>+SUMIFS(Ventas2020!$I:$I,Ventas2020!$B:$B,"&gt;="&amp;'Tendencia Semanal'!B2,Ventas2020!$B:$B,"&lt;="&amp;'Tendencia Semanal'!C2)</f>
        <v>92269.374176337209</v>
      </c>
      <c r="E2">
        <v>12212.265797118847</v>
      </c>
      <c r="F2" s="23">
        <f t="shared" ref="F2:F13" si="0">+E2/D2</f>
        <v>0.13235448821599058</v>
      </c>
      <c r="G2" s="72"/>
      <c r="H2" s="42" t="s">
        <v>8</v>
      </c>
      <c r="I2" s="43">
        <f>+D7</f>
        <v>538962.45938720088</v>
      </c>
      <c r="J2" s="43">
        <f>+E7</f>
        <v>81604.272917551643</v>
      </c>
      <c r="K2" s="44">
        <f t="shared" ref="K2:K13" si="1">+J2/I2</f>
        <v>0.15140993866314087</v>
      </c>
    </row>
    <row r="3" spans="1:11" x14ac:dyDescent="0.25">
      <c r="A3" s="63"/>
      <c r="B3" s="16">
        <v>43836</v>
      </c>
      <c r="C3" s="15">
        <v>43841</v>
      </c>
      <c r="D3">
        <f>+SUMIFS(Ventas2020!$I:$I,Ventas2020!$B:$B,"&gt;="&amp;'Tendencia Semanal'!B3,Ventas2020!$B:$B,"&lt;="&amp;'Tendencia Semanal'!C3)</f>
        <v>146051.84313725494</v>
      </c>
      <c r="E3">
        <v>23316.272441176483</v>
      </c>
      <c r="F3" s="23">
        <f t="shared" si="0"/>
        <v>0.15964380825556979</v>
      </c>
      <c r="G3" s="72"/>
      <c r="H3" s="41" t="s">
        <v>161</v>
      </c>
      <c r="I3" s="3">
        <f>+D13</f>
        <v>623135.87023288733</v>
      </c>
      <c r="J3" s="3">
        <f>+E13</f>
        <v>96014.141499804362</v>
      </c>
      <c r="K3" s="40">
        <f t="shared" si="1"/>
        <v>0.15408219312414254</v>
      </c>
    </row>
    <row r="4" spans="1:11" x14ac:dyDescent="0.25">
      <c r="A4" s="63"/>
      <c r="B4" s="16">
        <v>43843</v>
      </c>
      <c r="C4" s="15">
        <v>43848</v>
      </c>
      <c r="D4">
        <f>+SUMIFS(Ventas2020!$I:$I,Ventas2020!$B:$B,"&gt;="&amp;'Tendencia Semanal'!B4,Ventas2020!$B:$B,"&lt;="&amp;'Tendencia Semanal'!C4)</f>
        <v>120466.10435294115</v>
      </c>
      <c r="E4">
        <v>17206.002750326799</v>
      </c>
      <c r="F4" s="23">
        <f t="shared" si="0"/>
        <v>0.14282858105809346</v>
      </c>
      <c r="G4" s="72"/>
      <c r="H4" s="41" t="s">
        <v>276</v>
      </c>
      <c r="I4" s="3">
        <f>+D19</f>
        <v>525390.81284480949</v>
      </c>
      <c r="J4" s="3">
        <f>+E19</f>
        <v>80730.771402283193</v>
      </c>
      <c r="K4" s="40">
        <f t="shared" si="1"/>
        <v>0.15365851367890124</v>
      </c>
    </row>
    <row r="5" spans="1:11" x14ac:dyDescent="0.25">
      <c r="A5" s="63"/>
      <c r="B5" s="16">
        <v>43850</v>
      </c>
      <c r="C5" s="15">
        <v>43855</v>
      </c>
      <c r="D5">
        <f>+SUMIFS(Ventas2020!$I:$I,Ventas2020!$B:$B,"&gt;="&amp;'Tendencia Semanal'!B5,Ventas2020!$B:$B,"&lt;="&amp;'Tendencia Semanal'!C5)</f>
        <v>96524.96692810455</v>
      </c>
      <c r="E5">
        <v>16350.996078431373</v>
      </c>
      <c r="F5" s="23">
        <f t="shared" si="0"/>
        <v>0.16939654680856006</v>
      </c>
      <c r="G5" s="72"/>
      <c r="H5" s="41" t="s">
        <v>319</v>
      </c>
      <c r="I5" s="3">
        <f>+D25</f>
        <v>307300.52498850675</v>
      </c>
      <c r="J5" s="3">
        <f>+E25</f>
        <v>45646.842665869895</v>
      </c>
      <c r="K5" s="40">
        <f t="shared" si="1"/>
        <v>0.14854137547463389</v>
      </c>
    </row>
    <row r="6" spans="1:11" ht="15.75" thickBot="1" x14ac:dyDescent="0.3">
      <c r="A6" s="63"/>
      <c r="B6" s="24">
        <v>43857</v>
      </c>
      <c r="C6" s="25">
        <v>43861</v>
      </c>
      <c r="D6">
        <f>+SUMIFS(Ventas2020!$I:$I,Ventas2020!$B:$B,"&gt;="&amp;'Tendencia Semanal'!B6,Ventas2020!$B:$B,"&lt;="&amp;'Tendencia Semanal'!C6)</f>
        <v>83650.170792562974</v>
      </c>
      <c r="E6">
        <v>12518.735850498135</v>
      </c>
      <c r="F6" s="31">
        <f t="shared" si="0"/>
        <v>0.14965583132570398</v>
      </c>
      <c r="G6" s="72"/>
      <c r="H6" s="41" t="s">
        <v>336</v>
      </c>
      <c r="I6" s="3">
        <f>+D31</f>
        <v>184949.0273376017</v>
      </c>
      <c r="J6" s="3">
        <f>+E31</f>
        <v>28739.391062513892</v>
      </c>
      <c r="K6" s="40">
        <f t="shared" si="1"/>
        <v>0.15539087431940732</v>
      </c>
    </row>
    <row r="7" spans="1:11" ht="16.5" thickTop="1" thickBot="1" x14ac:dyDescent="0.3">
      <c r="A7" s="61" t="s">
        <v>5</v>
      </c>
      <c r="B7" s="61"/>
      <c r="C7" s="61"/>
      <c r="D7" s="36">
        <f>SUM(D2:D6)</f>
        <v>538962.45938720088</v>
      </c>
      <c r="E7" s="36">
        <f>SUM(E2:E6)</f>
        <v>81604.272917551643</v>
      </c>
      <c r="F7" s="37">
        <f t="shared" si="0"/>
        <v>0.15140993866314087</v>
      </c>
      <c r="G7" s="72"/>
      <c r="H7" s="41" t="s">
        <v>347</v>
      </c>
      <c r="I7" s="3">
        <f>+D37</f>
        <v>317973.79051792074</v>
      </c>
      <c r="J7" s="3">
        <f>+E37</f>
        <v>51402.520638611648</v>
      </c>
      <c r="K7" s="40">
        <f t="shared" si="1"/>
        <v>0.16165647034897565</v>
      </c>
    </row>
    <row r="8" spans="1:11" ht="15.75" thickTop="1" x14ac:dyDescent="0.25">
      <c r="A8" s="68" t="s">
        <v>161</v>
      </c>
      <c r="B8" s="26">
        <v>43862</v>
      </c>
      <c r="C8" s="26">
        <v>43862</v>
      </c>
      <c r="D8">
        <f>+SUMIFS(Ventas2020!$I:$I,Ventas2020!$B:$B,"&gt;="&amp;'Tendencia Semanal'!B8,Ventas2020!$B:$B,"&lt;="&amp;'Tendencia Semanal'!C8)</f>
        <v>29814.400000000001</v>
      </c>
      <c r="E8">
        <f>+SUMIFS(Ventas2020!$N:$N,Ventas2020!$B:$B,"&gt;="&amp;'Tendencia Semanal'!B8,Ventas2020!$B:$B,"&lt;="&amp;'Tendencia Semanal'!C8)</f>
        <v>4079.0719999999992</v>
      </c>
      <c r="F8" s="28">
        <f t="shared" si="0"/>
        <v>0.1368154985510357</v>
      </c>
      <c r="G8" s="72"/>
      <c r="H8" s="41" t="s">
        <v>348</v>
      </c>
      <c r="I8" s="3">
        <f>+D43</f>
        <v>492839.95114379085</v>
      </c>
      <c r="J8" s="3">
        <f>+E43</f>
        <v>76042.638862745109</v>
      </c>
      <c r="K8" s="40">
        <f t="shared" si="1"/>
        <v>0.15429479425575005</v>
      </c>
    </row>
    <row r="9" spans="1:11" x14ac:dyDescent="0.25">
      <c r="A9" s="69"/>
      <c r="B9" s="16">
        <v>43864</v>
      </c>
      <c r="C9" s="15">
        <v>43869</v>
      </c>
      <c r="D9">
        <f>+SUMIFS(Ventas2020!$I:$I,Ventas2020!$B:$B,"&gt;="&amp;'Tendencia Semanal'!B9,Ventas2020!$B:$B,"&lt;="&amp;'Tendencia Semanal'!C9)</f>
        <v>130978.82549019608</v>
      </c>
      <c r="E9">
        <f>+SUMIFS(Ventas2020!$N:$N,Ventas2020!$B:$B,"&gt;="&amp;'Tendencia Semanal'!B9,Ventas2020!$B:$B,"&lt;="&amp;'Tendencia Semanal'!C9)</f>
        <v>21123.140059095858</v>
      </c>
      <c r="F9" s="23">
        <f t="shared" si="0"/>
        <v>0.16127141146701571</v>
      </c>
      <c r="G9" s="72"/>
      <c r="H9" s="41" t="s">
        <v>349</v>
      </c>
      <c r="I9" s="3">
        <f>+D50</f>
        <v>428937.52509470453</v>
      </c>
      <c r="J9" s="3">
        <f>+E50</f>
        <v>65331.052591369895</v>
      </c>
      <c r="K9" s="40">
        <f t="shared" si="1"/>
        <v>0.15230901650991141</v>
      </c>
    </row>
    <row r="10" spans="1:11" x14ac:dyDescent="0.25">
      <c r="A10" s="69"/>
      <c r="B10" s="16">
        <v>43871</v>
      </c>
      <c r="C10" s="15">
        <v>43876</v>
      </c>
      <c r="D10">
        <f>+SUMIFS(Ventas2020!$I:$I,Ventas2020!$B:$B,"&gt;="&amp;'Tendencia Semanal'!B10,Ventas2020!$B:$B,"&lt;="&amp;'Tendencia Semanal'!C10)</f>
        <v>121374.60261437905</v>
      </c>
      <c r="E10">
        <f>+SUMIFS(Ventas2020!$N:$N,Ventas2020!$B:$B,"&gt;="&amp;'Tendencia Semanal'!B10,Ventas2020!$B:$B,"&lt;="&amp;'Tendencia Semanal'!C10)</f>
        <v>20554.200376906323</v>
      </c>
      <c r="F10" s="23">
        <f t="shared" si="0"/>
        <v>0.16934515074961243</v>
      </c>
      <c r="G10" s="72"/>
      <c r="H10" s="41" t="s">
        <v>350</v>
      </c>
      <c r="I10" s="3">
        <f>+D56</f>
        <v>480722.14369717584</v>
      </c>
      <c r="J10" s="3">
        <f>+E56</f>
        <v>76913.406968150899</v>
      </c>
      <c r="K10" s="40">
        <f t="shared" si="1"/>
        <v>0.15999555663614576</v>
      </c>
    </row>
    <row r="11" spans="1:11" x14ac:dyDescent="0.25">
      <c r="A11" s="69"/>
      <c r="B11" s="16">
        <v>43878</v>
      </c>
      <c r="C11" s="15">
        <v>43883</v>
      </c>
      <c r="D11">
        <f>+SUMIFS(Ventas2020!$I:$I,Ventas2020!$B:$B,"&gt;="&amp;'Tendencia Semanal'!B11,Ventas2020!$B:$B,"&lt;="&amp;'Tendencia Semanal'!C11)</f>
        <v>187073.00212831222</v>
      </c>
      <c r="E11">
        <f>+SUMIFS(Ventas2020!$N:$N,Ventas2020!$B:$B,"&gt;="&amp;'Tendencia Semanal'!B11,Ventas2020!$B:$B,"&lt;="&amp;'Tendencia Semanal'!C11)</f>
        <v>29488.938508246621</v>
      </c>
      <c r="F11" s="23">
        <f t="shared" si="0"/>
        <v>0.15763332053665521</v>
      </c>
      <c r="G11" s="72"/>
      <c r="H11" s="41" t="s">
        <v>351</v>
      </c>
      <c r="I11" s="3">
        <f>+D62</f>
        <v>536284.74111978128</v>
      </c>
      <c r="J11" s="3">
        <f>+E62</f>
        <v>75381.217552020811</v>
      </c>
      <c r="K11" s="40">
        <f t="shared" si="1"/>
        <v>0.14056192871462686</v>
      </c>
    </row>
    <row r="12" spans="1:11" ht="15.75" thickBot="1" x14ac:dyDescent="0.3">
      <c r="A12" s="70"/>
      <c r="B12" s="29">
        <v>43885</v>
      </c>
      <c r="C12" s="30">
        <v>43890</v>
      </c>
      <c r="D12">
        <f>+SUMIFS(Ventas2020!$I:$I,Ventas2020!$B:$B,"&gt;="&amp;'Tendencia Semanal'!B12,Ventas2020!$B:$B,"&lt;="&amp;'Tendencia Semanal'!C12)</f>
        <v>153895.03999999998</v>
      </c>
      <c r="E12">
        <f>+SUMIFS(Ventas2020!$N:$N,Ventas2020!$B:$B,"&gt;="&amp;'Tendencia Semanal'!B12,Ventas2020!$B:$B,"&lt;="&amp;'Tendencia Semanal'!C12)</f>
        <v>20768.790555555555</v>
      </c>
      <c r="F12" s="32">
        <f t="shared" si="0"/>
        <v>0.13495425554686855</v>
      </c>
      <c r="G12" s="72"/>
      <c r="H12" s="41" t="s">
        <v>352</v>
      </c>
      <c r="I12" s="3">
        <f>+D68</f>
        <v>582297.55836601311</v>
      </c>
      <c r="J12" s="3">
        <f ca="1">+E68</f>
        <v>81362.110640522878</v>
      </c>
      <c r="K12" s="40">
        <f t="shared" ca="1" si="1"/>
        <v>0.13972600343513947</v>
      </c>
    </row>
    <row r="13" spans="1:11" ht="16.5" thickTop="1" thickBot="1" x14ac:dyDescent="0.3">
      <c r="A13" s="61" t="s">
        <v>5</v>
      </c>
      <c r="B13" s="61"/>
      <c r="C13" s="76"/>
      <c r="D13" s="38">
        <f>SUM(D8:D12)</f>
        <v>623135.87023288733</v>
      </c>
      <c r="E13" s="50">
        <f>SUM(E8:E12)</f>
        <v>96014.141499804362</v>
      </c>
      <c r="F13" s="35">
        <f t="shared" si="0"/>
        <v>0.15408219312414254</v>
      </c>
      <c r="G13" s="73"/>
      <c r="H13" s="41" t="s">
        <v>162</v>
      </c>
      <c r="I13" s="3">
        <f>+D74</f>
        <v>220840.69482993195</v>
      </c>
      <c r="J13" s="3">
        <f ca="1">+E74</f>
        <v>32321.828513378689</v>
      </c>
      <c r="K13" s="40">
        <f t="shared" ca="1" si="1"/>
        <v>0.14635811818229211</v>
      </c>
    </row>
    <row r="14" spans="1:11" ht="15.75" thickTop="1" x14ac:dyDescent="0.25">
      <c r="A14" s="66" t="s">
        <v>276</v>
      </c>
      <c r="B14" s="16">
        <v>43892</v>
      </c>
      <c r="C14" s="15">
        <v>43897</v>
      </c>
      <c r="D14">
        <f>+SUMIFS(Ventas2020!$I:$I,Ventas2020!$B:$B,"&gt;="&amp;'Tendencia Semanal'!B14,Ventas2020!$B:$B,"&lt;="&amp;'Tendencia Semanal'!C14)</f>
        <v>123398.622910169</v>
      </c>
      <c r="E14">
        <f>+SUMIFS(Ventas2020!$N:$N,Ventas2020!$B:$B,"&gt;="&amp;'Tendencia Semanal'!B14,Ventas2020!$B:$B,"&lt;="&amp;'Tendencia Semanal'!C14)</f>
        <v>17889.355550431355</v>
      </c>
      <c r="F14" s="28">
        <f>+E14/D14</f>
        <v>0.14497208419784671</v>
      </c>
    </row>
    <row r="15" spans="1:11" x14ac:dyDescent="0.25">
      <c r="A15" s="67"/>
      <c r="B15" s="17">
        <v>43899</v>
      </c>
      <c r="C15" s="14">
        <v>43904</v>
      </c>
      <c r="D15">
        <f>+SUMIFS(Ventas2020!$I:$I,Ventas2020!$B:$B,"&gt;="&amp;'Tendencia Semanal'!B15,Ventas2020!$B:$B,"&lt;="&amp;'Tendencia Semanal'!C15)</f>
        <v>171011.56372549018</v>
      </c>
      <c r="E15">
        <f>+SUMIFS(Ventas2020!$N:$N,Ventas2020!$B:$B,"&gt;="&amp;'Tendencia Semanal'!B15,Ventas2020!$B:$B,"&lt;="&amp;'Tendencia Semanal'!C15)</f>
        <v>24178.276945533758</v>
      </c>
      <c r="F15" s="23">
        <f t="shared" ref="F15:F25" si="2">+E15/D15</f>
        <v>0.14138387146932951</v>
      </c>
    </row>
    <row r="16" spans="1:11" x14ac:dyDescent="0.25">
      <c r="A16" s="67"/>
      <c r="B16" s="17">
        <v>43906</v>
      </c>
      <c r="C16" s="14">
        <v>43911</v>
      </c>
      <c r="D16">
        <f>+SUMIFS(Ventas2020!$I:$I,Ventas2020!$B:$B,"&gt;="&amp;'Tendencia Semanal'!B16,Ventas2020!$B:$B,"&lt;="&amp;'Tendencia Semanal'!C16)</f>
        <v>120007.73176470588</v>
      </c>
      <c r="E16">
        <f>+SUMIFS(Ventas2020!$N:$N,Ventas2020!$B:$B,"&gt;="&amp;'Tendencia Semanal'!B16,Ventas2020!$B:$B,"&lt;="&amp;'Tendencia Semanal'!C16)</f>
        <v>18839.208647058829</v>
      </c>
      <c r="F16" s="23">
        <f t="shared" si="2"/>
        <v>0.15698329074326706</v>
      </c>
    </row>
    <row r="17" spans="1:6" x14ac:dyDescent="0.25">
      <c r="A17" s="67"/>
      <c r="B17" s="17">
        <v>43913</v>
      </c>
      <c r="C17" s="14">
        <v>43918</v>
      </c>
      <c r="D17">
        <f>+SUMIFS(Ventas2020!$I:$I,Ventas2020!$B:$B,"&gt;="&amp;'Tendencia Semanal'!B17,Ventas2020!$B:$B,"&lt;="&amp;'Tendencia Semanal'!C17)</f>
        <v>92009.894444444464</v>
      </c>
      <c r="E17">
        <f>+SUMIFS(Ventas2020!$N:$N,Ventas2020!$B:$B,"&gt;="&amp;'Tendencia Semanal'!B17,Ventas2020!$B:$B,"&lt;="&amp;'Tendencia Semanal'!C17)</f>
        <v>15800.930259259258</v>
      </c>
      <c r="F17" s="23">
        <f t="shared" si="2"/>
        <v>0.17173077259424369</v>
      </c>
    </row>
    <row r="18" spans="1:6" ht="15.75" thickBot="1" x14ac:dyDescent="0.3">
      <c r="A18" s="67"/>
      <c r="B18" s="33">
        <v>43920</v>
      </c>
      <c r="C18" s="34">
        <v>43921</v>
      </c>
      <c r="D18">
        <f>+SUMIFS(Ventas2020!$I:$I,Ventas2020!$B:$B,"&gt;="&amp;'Tendencia Semanal'!B18,Ventas2020!$B:$B,"&lt;="&amp;'Tendencia Semanal'!C18)</f>
        <v>18963</v>
      </c>
      <c r="E18">
        <f>+SUMIFS(Ventas2020!$N:$N,Ventas2020!$B:$B,"&gt;="&amp;'Tendencia Semanal'!B18,Ventas2020!$B:$B,"&lt;="&amp;'Tendencia Semanal'!C18)</f>
        <v>4023</v>
      </c>
      <c r="F18" s="32">
        <f t="shared" si="2"/>
        <v>0.2121499762695776</v>
      </c>
    </row>
    <row r="19" spans="1:6" ht="16.5" thickTop="1" thickBot="1" x14ac:dyDescent="0.3">
      <c r="A19" s="61" t="s">
        <v>5</v>
      </c>
      <c r="B19" s="61"/>
      <c r="C19" s="61"/>
      <c r="D19" s="38">
        <f>SUM(D14:D18)</f>
        <v>525390.81284480949</v>
      </c>
      <c r="E19" s="50">
        <f>SUM(E14:E18)</f>
        <v>80730.771402283193</v>
      </c>
      <c r="F19" s="35">
        <f t="shared" si="2"/>
        <v>0.15365851367890124</v>
      </c>
    </row>
    <row r="20" spans="1:6" ht="15.75" thickTop="1" x14ac:dyDescent="0.25">
      <c r="A20" s="68" t="s">
        <v>319</v>
      </c>
      <c r="B20" s="26">
        <v>43922</v>
      </c>
      <c r="C20" s="27">
        <v>43925</v>
      </c>
      <c r="D20">
        <f>+SUMIFS(Ventas2020!$I:$I,Ventas2020!$B:$B,"&gt;="&amp;'Tendencia Semanal'!B20,Ventas2020!$B:$B,"&lt;="&amp;'Tendencia Semanal'!C20)</f>
        <v>72487.57843137256</v>
      </c>
      <c r="E20">
        <f>+SUMIFS(Ventas2020!$N:$N,Ventas2020!$B:$B,"&gt;="&amp;'Tendencia Semanal'!B20,Ventas2020!$B:$B,"&lt;="&amp;'Tendencia Semanal'!C20)</f>
        <v>10302.112062091506</v>
      </c>
      <c r="F20" s="28">
        <f>+E20/D20</f>
        <v>0.14212244752864805</v>
      </c>
    </row>
    <row r="21" spans="1:6" x14ac:dyDescent="0.25">
      <c r="A21" s="69"/>
      <c r="B21" s="17">
        <v>43927</v>
      </c>
      <c r="C21" s="14">
        <v>43928</v>
      </c>
      <c r="D21">
        <f>+SUMIFS(Ventas2020!$I:$I,Ventas2020!$B:$B,"&gt;="&amp;'Tendencia Semanal'!B21,Ventas2020!$B:$B,"&lt;="&amp;'Tendencia Semanal'!C21)</f>
        <v>19394.833333333332</v>
      </c>
      <c r="E21">
        <f>+SUMIFS(Ventas2020!$N:$N,Ventas2020!$B:$B,"&gt;="&amp;'Tendencia Semanal'!B21,Ventas2020!$B:$B,"&lt;="&amp;'Tendencia Semanal'!C21)</f>
        <v>3442.3041666666668</v>
      </c>
      <c r="F21" s="23">
        <f t="shared" si="2"/>
        <v>0.1774856276156021</v>
      </c>
    </row>
    <row r="22" spans="1:6" x14ac:dyDescent="0.25">
      <c r="A22" s="69"/>
      <c r="B22" s="17">
        <v>43934</v>
      </c>
      <c r="C22" s="14">
        <v>43939</v>
      </c>
      <c r="D22">
        <f>+SUMIFS(Ventas2020!$I:$I,Ventas2020!$B:$B,"&gt;="&amp;'Tendencia Semanal'!B22,Ventas2020!$B:$B,"&lt;="&amp;'Tendencia Semanal'!C22)</f>
        <v>81253.913398692821</v>
      </c>
      <c r="E22">
        <f>+SUMIFS(Ventas2020!$N:$N,Ventas2020!$B:$B,"&gt;="&amp;'Tendencia Semanal'!B22,Ventas2020!$B:$B,"&lt;="&amp;'Tendencia Semanal'!C22)</f>
        <v>11640.759967320262</v>
      </c>
      <c r="F22" s="23">
        <f t="shared" si="2"/>
        <v>0.1432639916086495</v>
      </c>
    </row>
    <row r="23" spans="1:6" x14ac:dyDescent="0.25">
      <c r="A23" s="69"/>
      <c r="B23" s="17">
        <v>43941</v>
      </c>
      <c r="C23" s="14">
        <v>43946</v>
      </c>
      <c r="D23">
        <f>+SUMIFS(Ventas2020!$I:$I,Ventas2020!$B:$B,"&gt;="&amp;'Tendencia Semanal'!B23,Ventas2020!$B:$B,"&lt;="&amp;'Tendencia Semanal'!C23)</f>
        <v>74838.723528811766</v>
      </c>
      <c r="E23">
        <f>+SUMIFS(Ventas2020!$N:$N,Ventas2020!$B:$B,"&gt;="&amp;'Tendencia Semanal'!B23,Ventas2020!$B:$B,"&lt;="&amp;'Tendencia Semanal'!C23)</f>
        <v>11312.125729050722</v>
      </c>
      <c r="F23" s="23">
        <f t="shared" si="2"/>
        <v>0.15115337616221802</v>
      </c>
    </row>
    <row r="24" spans="1:6" ht="15.75" thickBot="1" x14ac:dyDescent="0.3">
      <c r="A24" s="70"/>
      <c r="B24" s="18">
        <v>43948</v>
      </c>
      <c r="C24" s="19">
        <v>43951</v>
      </c>
      <c r="D24">
        <f>+SUMIFS(Ventas2020!$I:$I,Ventas2020!$B:$B,"&gt;="&amp;'Tendencia Semanal'!B24,Ventas2020!$B:$B,"&lt;="&amp;'Tendencia Semanal'!C24)</f>
        <v>59325.4762962963</v>
      </c>
      <c r="E24">
        <f>+SUMIFS(Ventas2020!$N:$N,Ventas2020!$B:$B,"&gt;="&amp;'Tendencia Semanal'!B24,Ventas2020!$B:$B,"&lt;="&amp;'Tendencia Semanal'!C24)</f>
        <v>8949.5407407407401</v>
      </c>
      <c r="F24" s="32">
        <f t="shared" si="2"/>
        <v>0.15085493281238876</v>
      </c>
    </row>
    <row r="25" spans="1:6" ht="16.5" thickTop="1" thickBot="1" x14ac:dyDescent="0.3">
      <c r="A25" s="61" t="s">
        <v>5</v>
      </c>
      <c r="B25" s="61"/>
      <c r="C25" s="61"/>
      <c r="D25" s="38">
        <f>SUM(D20:D24)</f>
        <v>307300.52498850675</v>
      </c>
      <c r="E25" s="36">
        <f>SUM(E20:E24)</f>
        <v>45646.842665869895</v>
      </c>
      <c r="F25" s="37">
        <f t="shared" si="2"/>
        <v>0.14854137547463389</v>
      </c>
    </row>
    <row r="26" spans="1:6" ht="15.75" thickTop="1" x14ac:dyDescent="0.25">
      <c r="A26" s="66" t="s">
        <v>336</v>
      </c>
      <c r="B26" s="26">
        <v>43952</v>
      </c>
      <c r="C26" s="27">
        <v>43953</v>
      </c>
      <c r="D26">
        <f>+SUMIFS(Ventas2020!$I:$I,Ventas2020!$B:$B,"&gt;="&amp;'Tendencia Semanal'!B26,Ventas2020!$B:$B,"&lt;="&amp;'Tendencia Semanal'!C26)</f>
        <v>13440.65</v>
      </c>
      <c r="E26">
        <f>+SUMIFS(Ventas2020!$N:$N,Ventas2020!$B:$B,"&gt;="&amp;'Tendencia Semanal'!B26,Ventas2020!$B:$B,"&lt;="&amp;'Tendencia Semanal'!C26)</f>
        <v>3099.2570000000005</v>
      </c>
      <c r="F26" s="28">
        <f>+E26/D26</f>
        <v>0.23058832720143749</v>
      </c>
    </row>
    <row r="27" spans="1:6" x14ac:dyDescent="0.25">
      <c r="A27" s="67"/>
      <c r="B27" s="17">
        <v>43955</v>
      </c>
      <c r="C27" s="14">
        <v>43960</v>
      </c>
      <c r="D27">
        <f>+SUMIFS(Ventas2020!$I:$I,Ventas2020!$B:$B,"&gt;="&amp;'Tendencia Semanal'!B27,Ventas2020!$B:$B,"&lt;="&amp;'Tendencia Semanal'!C27)</f>
        <v>80747.688888888893</v>
      </c>
      <c r="E27">
        <f>+SUMIFS(Ventas2020!$N:$N,Ventas2020!$B:$B,"&gt;="&amp;'Tendencia Semanal'!B27,Ventas2020!$B:$B,"&lt;="&amp;'Tendencia Semanal'!C27)</f>
        <v>12108.647777777776</v>
      </c>
      <c r="F27" s="23">
        <f>+E27/D27</f>
        <v>0.14995658630477485</v>
      </c>
    </row>
    <row r="28" spans="1:6" x14ac:dyDescent="0.25">
      <c r="A28" s="67"/>
      <c r="B28" s="17">
        <v>43962</v>
      </c>
      <c r="C28" s="14">
        <v>43967</v>
      </c>
      <c r="D28">
        <f>+SUMIFS(Ventas2020!$I:$I,Ventas2020!$B:$B,"&gt;="&amp;'Tendencia Semanal'!B28,Ventas2020!$B:$B,"&lt;="&amp;'Tendencia Semanal'!C28)</f>
        <v>1090</v>
      </c>
      <c r="E28">
        <f>+SUMIFS(Ventas2020!$N:$N,Ventas2020!$B:$B,"&gt;="&amp;'Tendencia Semanal'!B28,Ventas2020!$B:$B,"&lt;="&amp;'Tendencia Semanal'!C28)</f>
        <v>153</v>
      </c>
      <c r="F28" s="23">
        <f>+E28/D28</f>
        <v>0.14036697247706423</v>
      </c>
    </row>
    <row r="29" spans="1:6" x14ac:dyDescent="0.25">
      <c r="A29" s="67"/>
      <c r="B29" s="17">
        <v>43969</v>
      </c>
      <c r="C29" s="14">
        <v>43974</v>
      </c>
      <c r="D29">
        <f>+SUMIFS(Ventas2020!$I:$I,Ventas2020!$B:$B,"&gt;="&amp;'Tendencia Semanal'!B29,Ventas2020!$B:$B,"&lt;="&amp;'Tendencia Semanal'!C29)</f>
        <v>52204.9662264906</v>
      </c>
      <c r="E29">
        <f>+SUMIFS(Ventas2020!$N:$N,Ventas2020!$B:$B,"&gt;="&amp;'Tendencia Semanal'!B29,Ventas2020!$B:$B,"&lt;="&amp;'Tendencia Semanal'!C29)</f>
        <v>7200.183299986661</v>
      </c>
      <c r="F29" s="23">
        <f>+E29/D29</f>
        <v>0.13792142434780544</v>
      </c>
    </row>
    <row r="30" spans="1:6" ht="15.75" thickBot="1" x14ac:dyDescent="0.3">
      <c r="A30" s="67"/>
      <c r="B30" s="18">
        <v>43976</v>
      </c>
      <c r="C30" s="19">
        <v>43981</v>
      </c>
      <c r="D30">
        <f>+SUMIFS(Ventas2020!$I:$I,Ventas2020!$B:$B,"&gt;="&amp;'Tendencia Semanal'!B30,Ventas2020!$B:$B,"&lt;="&amp;'Tendencia Semanal'!C30)</f>
        <v>37465.722222222219</v>
      </c>
      <c r="E30">
        <f>+SUMIFS(Ventas2020!$N:$N,Ventas2020!$B:$B,"&gt;="&amp;'Tendencia Semanal'!B30,Ventas2020!$B:$B,"&lt;="&amp;'Tendencia Semanal'!C30)</f>
        <v>6178.3029847494545</v>
      </c>
      <c r="F30" s="32">
        <f>+E30/D30</f>
        <v>0.16490548208583281</v>
      </c>
    </row>
    <row r="31" spans="1:6" ht="16.5" thickTop="1" thickBot="1" x14ac:dyDescent="0.3">
      <c r="A31" s="61" t="s">
        <v>5</v>
      </c>
      <c r="B31" s="61"/>
      <c r="C31" s="61"/>
      <c r="D31" s="38">
        <f>SUM(D26:D30)</f>
        <v>184949.0273376017</v>
      </c>
      <c r="E31" s="36">
        <f>SUM(E26:E30)</f>
        <v>28739.391062513892</v>
      </c>
      <c r="F31" s="37">
        <f t="shared" ref="F31" si="3">+E31/D31</f>
        <v>0.15539087431940732</v>
      </c>
    </row>
    <row r="32" spans="1:6" ht="15.75" thickTop="1" x14ac:dyDescent="0.25">
      <c r="A32" s="68" t="s">
        <v>347</v>
      </c>
      <c r="B32" s="26">
        <v>43983</v>
      </c>
      <c r="C32" s="39">
        <v>43988</v>
      </c>
      <c r="D32">
        <f>+SUMIFS(Ventas2020!$I:$I,Ventas2020!$B:$B,"&gt;="&amp;'Tendencia Semanal'!B32,Ventas2020!$B:$B,"&lt;="&amp;'Tendencia Semanal'!C32)</f>
        <v>77418.970588235301</v>
      </c>
      <c r="E32">
        <f>+SUMIFS(Ventas2020!$N:$N,Ventas2020!$B:$B,"&gt;="&amp;'Tendencia Semanal'!B32,Ventas2020!$B:$B,"&lt;="&amp;'Tendencia Semanal'!C32)</f>
        <v>12397.023529411765</v>
      </c>
      <c r="F32" s="28">
        <f>+E32/D32</f>
        <v>0.16012901534621585</v>
      </c>
    </row>
    <row r="33" spans="1:6" x14ac:dyDescent="0.25">
      <c r="A33" s="69"/>
      <c r="B33" s="17">
        <v>43990</v>
      </c>
      <c r="C33" s="14">
        <v>43995</v>
      </c>
      <c r="D33">
        <f>+SUMIFS(Ventas2020!$I:$I,Ventas2020!$B:$B,"&gt;="&amp;'Tendencia Semanal'!B33,Ventas2020!$B:$B,"&lt;="&amp;'Tendencia Semanal'!C33)</f>
        <v>83484.981699346405</v>
      </c>
      <c r="E33">
        <f>+SUMIFS(Ventas2020!$N:$N,Ventas2020!$B:$B,"&gt;="&amp;'Tendencia Semanal'!B33,Ventas2020!$B:$B,"&lt;="&amp;'Tendencia Semanal'!C33)</f>
        <v>12981.68708496732</v>
      </c>
      <c r="F33" s="23">
        <f t="shared" ref="F33:F37" si="4">+E33/D33</f>
        <v>0.15549727412911382</v>
      </c>
    </row>
    <row r="34" spans="1:6" x14ac:dyDescent="0.25">
      <c r="A34" s="69"/>
      <c r="B34" s="17">
        <v>43997</v>
      </c>
      <c r="C34" s="14">
        <v>44002</v>
      </c>
      <c r="D34">
        <f>+SUMIFS(Ventas2020!$I:$I,Ventas2020!$B:$B,"&gt;="&amp;'Tendencia Semanal'!B34,Ventas2020!$B:$B,"&lt;="&amp;'Tendencia Semanal'!C34)</f>
        <v>62289.504705882355</v>
      </c>
      <c r="E34">
        <f>+SUMIFS(Ventas2020!$N:$N,Ventas2020!$B:$B,"&gt;="&amp;'Tendencia Semanal'!B34,Ventas2020!$B:$B,"&lt;="&amp;'Tendencia Semanal'!C34)</f>
        <v>9584.7092352941199</v>
      </c>
      <c r="F34" s="23">
        <f t="shared" si="4"/>
        <v>0.15387358240446855</v>
      </c>
    </row>
    <row r="35" spans="1:6" x14ac:dyDescent="0.25">
      <c r="A35" s="69"/>
      <c r="B35" s="17">
        <v>44004</v>
      </c>
      <c r="C35" s="14">
        <v>44009</v>
      </c>
      <c r="D35">
        <f>+SUMIFS(Ventas2020!$I:$I,Ventas2020!$B:$B,"&gt;="&amp;'Tendencia Semanal'!B35,Ventas2020!$B:$B,"&lt;="&amp;'Tendencia Semanal'!C35)</f>
        <v>61862.649210731222</v>
      </c>
      <c r="E35">
        <f>+SUMIFS(Ventas2020!$N:$N,Ventas2020!$B:$B,"&gt;="&amp;'Tendencia Semanal'!B35,Ventas2020!$B:$B,"&lt;="&amp;'Tendencia Semanal'!C35)</f>
        <v>11070.460462141054</v>
      </c>
      <c r="F35" s="23">
        <f t="shared" si="4"/>
        <v>0.17895225315085081</v>
      </c>
    </row>
    <row r="36" spans="1:6" ht="15.75" thickBot="1" x14ac:dyDescent="0.3">
      <c r="A36" s="70"/>
      <c r="B36" s="18">
        <v>44011</v>
      </c>
      <c r="C36" s="19">
        <v>44012</v>
      </c>
      <c r="D36">
        <f>+SUMIFS(Ventas2020!$I:$I,Ventas2020!$B:$B,"&gt;="&amp;'Tendencia Semanal'!B36,Ventas2020!$B:$B,"&lt;="&amp;'Tendencia Semanal'!C36)</f>
        <v>32917.684313725491</v>
      </c>
      <c r="E36">
        <f>+SUMIFS(Ventas2020!$N:$N,Ventas2020!$B:$B,"&gt;="&amp;'Tendencia Semanal'!B36,Ventas2020!$B:$B,"&lt;="&amp;'Tendencia Semanal'!C36)</f>
        <v>5368.6403267973856</v>
      </c>
      <c r="F36" s="32">
        <f t="shared" si="4"/>
        <v>0.16309289182164177</v>
      </c>
    </row>
    <row r="37" spans="1:6" ht="16.5" thickTop="1" thickBot="1" x14ac:dyDescent="0.3">
      <c r="A37" s="61" t="s">
        <v>5</v>
      </c>
      <c r="B37" s="61"/>
      <c r="C37" s="61"/>
      <c r="D37" s="38">
        <f>SUM(D32:D36)</f>
        <v>317973.79051792074</v>
      </c>
      <c r="E37" s="36">
        <f>SUM(E32:E36)</f>
        <v>51402.520638611648</v>
      </c>
      <c r="F37" s="37">
        <f t="shared" si="4"/>
        <v>0.16165647034897565</v>
      </c>
    </row>
    <row r="38" spans="1:6" ht="15.75" thickTop="1" x14ac:dyDescent="0.25">
      <c r="A38" s="66" t="s">
        <v>348</v>
      </c>
      <c r="B38" s="26">
        <v>44013</v>
      </c>
      <c r="C38" s="39">
        <v>44016</v>
      </c>
      <c r="D38">
        <f>+SUMIFS(Ventas2020!$I:$I,Ventas2020!$B:$B,"&gt;="&amp;'Tendencia Semanal'!B38,Ventas2020!$B:$B,"&lt;="&amp;'Tendencia Semanal'!C38)</f>
        <v>50508.5</v>
      </c>
      <c r="E38">
        <f>+SUMIFS(Ventas2020!$N:$N,Ventas2020!$B:$B,"&gt;="&amp;'Tendencia Semanal'!B38,Ventas2020!$B:$B,"&lt;="&amp;'Tendencia Semanal'!C38)</f>
        <v>9541.9233333333341</v>
      </c>
      <c r="F38" s="28">
        <f>+E38/D38</f>
        <v>0.18891717895667728</v>
      </c>
    </row>
    <row r="39" spans="1:6" x14ac:dyDescent="0.25">
      <c r="A39" s="67"/>
      <c r="B39" s="17">
        <v>44018</v>
      </c>
      <c r="C39" s="14">
        <v>44023</v>
      </c>
      <c r="D39">
        <f>+SUMIFS(Ventas2020!$I:$I,Ventas2020!$B:$B,"&gt;="&amp;'Tendencia Semanal'!B39,Ventas2020!$B:$B,"&lt;="&amp;'Tendencia Semanal'!C39)</f>
        <v>95492.23529411765</v>
      </c>
      <c r="E39">
        <f>+SUMIFS(Ventas2020!$N:$N,Ventas2020!$B:$B,"&gt;="&amp;'Tendencia Semanal'!B39,Ventas2020!$B:$B,"&lt;="&amp;'Tendencia Semanal'!C39)</f>
        <v>12583.691764705882</v>
      </c>
      <c r="F39" s="23">
        <f t="shared" ref="F39:F43" si="5">+E39/D39</f>
        <v>0.13177712016006227</v>
      </c>
    </row>
    <row r="40" spans="1:6" x14ac:dyDescent="0.25">
      <c r="A40" s="67"/>
      <c r="B40" s="17">
        <v>44025</v>
      </c>
      <c r="C40" s="14">
        <v>44030</v>
      </c>
      <c r="D40">
        <f>+SUMIFS(Ventas2020!$I:$I,Ventas2020!$B:$B,"&gt;="&amp;'Tendencia Semanal'!B40,Ventas2020!$B:$B,"&lt;="&amp;'Tendencia Semanal'!C40)</f>
        <v>158817.97728758171</v>
      </c>
      <c r="E40">
        <f>+SUMIFS(Ventas2020!$N:$N,Ventas2020!$B:$B,"&gt;="&amp;'Tendencia Semanal'!B40,Ventas2020!$B:$B,"&lt;="&amp;'Tendencia Semanal'!C40)</f>
        <v>21731.123725490201</v>
      </c>
      <c r="F40" s="23">
        <f t="shared" si="5"/>
        <v>0.13683037711870796</v>
      </c>
    </row>
    <row r="41" spans="1:6" x14ac:dyDescent="0.25">
      <c r="A41" s="67"/>
      <c r="B41" s="17">
        <v>44032</v>
      </c>
      <c r="C41" s="14">
        <v>44037</v>
      </c>
      <c r="D41">
        <f>+SUMIFS(Ventas2020!$I:$I,Ventas2020!$B:$B,"&gt;="&amp;'Tendencia Semanal'!B41,Ventas2020!$B:$B,"&lt;="&amp;'Tendencia Semanal'!C41)</f>
        <v>111832.94444444445</v>
      </c>
      <c r="E41">
        <f>+SUMIFS(Ventas2020!$N:$N,Ventas2020!$B:$B,"&gt;="&amp;'Tendencia Semanal'!B41,Ventas2020!$B:$B,"&lt;="&amp;'Tendencia Semanal'!C41)</f>
        <v>16320.235333333329</v>
      </c>
      <c r="F41" s="23">
        <f t="shared" si="5"/>
        <v>0.14593405739612603</v>
      </c>
    </row>
    <row r="42" spans="1:6" ht="15.75" thickBot="1" x14ac:dyDescent="0.3">
      <c r="A42" s="67"/>
      <c r="B42" s="18">
        <v>44039</v>
      </c>
      <c r="C42" s="19">
        <v>44043</v>
      </c>
      <c r="D42">
        <f>+SUMIFS(Ventas2020!$I:$I,Ventas2020!$B:$B,"&gt;="&amp;'Tendencia Semanal'!B42,Ventas2020!$B:$B,"&lt;="&amp;'Tendencia Semanal'!C42)</f>
        <v>76188.294117647063</v>
      </c>
      <c r="E42">
        <f>+SUMIFS(Ventas2020!$N:$N,Ventas2020!$B:$B,"&gt;="&amp;'Tendencia Semanal'!B42,Ventas2020!$B:$B,"&lt;="&amp;'Tendencia Semanal'!C42)</f>
        <v>15865.664705882351</v>
      </c>
      <c r="F42" s="32">
        <f t="shared" si="5"/>
        <v>0.20824281327763022</v>
      </c>
    </row>
    <row r="43" spans="1:6" ht="16.5" thickTop="1" thickBot="1" x14ac:dyDescent="0.3">
      <c r="A43" s="61" t="s">
        <v>5</v>
      </c>
      <c r="B43" s="77"/>
      <c r="C43" s="77"/>
      <c r="D43" s="38">
        <f>SUM(D38:D42)</f>
        <v>492839.95114379085</v>
      </c>
      <c r="E43" s="36">
        <f>SUM(E38:E42)</f>
        <v>76042.638862745109</v>
      </c>
      <c r="F43" s="37">
        <f t="shared" si="5"/>
        <v>0.15429479425575005</v>
      </c>
    </row>
    <row r="44" spans="1:6" ht="15.75" thickTop="1" x14ac:dyDescent="0.25">
      <c r="A44" s="81" t="s">
        <v>349</v>
      </c>
      <c r="B44" s="26">
        <v>44044</v>
      </c>
      <c r="C44" s="26">
        <v>44044</v>
      </c>
      <c r="D44">
        <f>+SUMIFS(Ventas2020!$I:$I,Ventas2020!$B:$B,"&gt;="&amp;'Tendencia Semanal'!B44,Ventas2020!$B:$B,"&lt;="&amp;'Tendencia Semanal'!C44)</f>
        <v>10348.375</v>
      </c>
      <c r="E44">
        <f>+SUMIFS(Ventas2020!$N:$N,Ventas2020!$B:$B,"&gt;="&amp;'Tendencia Semanal'!B44,Ventas2020!$B:$B,"&lt;="&amp;'Tendencia Semanal'!C44)</f>
        <v>1655.9625000000001</v>
      </c>
      <c r="F44" s="28">
        <f>+E44/D44</f>
        <v>0.16002150096029572</v>
      </c>
    </row>
    <row r="45" spans="1:6" x14ac:dyDescent="0.25">
      <c r="A45" s="82"/>
      <c r="B45" s="17">
        <v>44046</v>
      </c>
      <c r="C45" s="45">
        <v>44051</v>
      </c>
      <c r="D45">
        <f>+SUMIFS(Ventas2020!$I:$I,Ventas2020!$B:$B,"&gt;="&amp;'Tendencia Semanal'!B45,Ventas2020!$B:$B,"&lt;="&amp;'Tendencia Semanal'!C45)</f>
        <v>120016.08823529411</v>
      </c>
      <c r="E45">
        <f>+SUMIFS(Ventas2020!$N:$N,Ventas2020!$B:$B,"&gt;="&amp;'Tendencia Semanal'!B45,Ventas2020!$B:$B,"&lt;="&amp;'Tendencia Semanal'!C45)</f>
        <v>16651.299411764707</v>
      </c>
      <c r="F45" s="23">
        <f t="shared" ref="F45:F50" si="6">+E45/D45</f>
        <v>0.13874222745136866</v>
      </c>
    </row>
    <row r="46" spans="1:6" x14ac:dyDescent="0.25">
      <c r="A46" s="82"/>
      <c r="B46" s="17">
        <v>44053</v>
      </c>
      <c r="C46" s="45">
        <v>44058</v>
      </c>
      <c r="D46">
        <f>+SUMIFS(Ventas2020!$I:$I,Ventas2020!$B:$B,"&gt;="&amp;'Tendencia Semanal'!B46,Ventas2020!$B:$B,"&lt;="&amp;'Tendencia Semanal'!C46)</f>
        <v>99691.082450980393</v>
      </c>
      <c r="E46">
        <f>+SUMIFS(Ventas2020!$N:$N,Ventas2020!$B:$B,"&gt;="&amp;'Tendencia Semanal'!B46,Ventas2020!$B:$B,"&lt;="&amp;'Tendencia Semanal'!C46)</f>
        <v>16483.908594771245</v>
      </c>
      <c r="F46" s="23">
        <f t="shared" si="6"/>
        <v>0.16534988074662174</v>
      </c>
    </row>
    <row r="47" spans="1:6" x14ac:dyDescent="0.25">
      <c r="A47" s="82"/>
      <c r="B47" s="17">
        <v>44060</v>
      </c>
      <c r="C47" s="45">
        <v>44065</v>
      </c>
      <c r="D47">
        <f>+SUMIFS(Ventas2020!$I:$I,Ventas2020!$B:$B,"&gt;="&amp;'Tendencia Semanal'!B47,Ventas2020!$B:$B,"&lt;="&amp;'Tendencia Semanal'!C47)</f>
        <v>96512.58332999867</v>
      </c>
      <c r="E47">
        <f>+SUMIFS(Ventas2020!$N:$N,Ventas2020!$B:$B,"&gt;="&amp;'Tendencia Semanal'!B47,Ventas2020!$B:$B,"&lt;="&amp;'Tendencia Semanal'!C47)</f>
        <v>14854.471986794719</v>
      </c>
      <c r="F47" s="23">
        <f t="shared" si="6"/>
        <v>0.15391228246376817</v>
      </c>
    </row>
    <row r="48" spans="1:6" x14ac:dyDescent="0.25">
      <c r="A48" s="82"/>
      <c r="B48" s="17">
        <v>44067</v>
      </c>
      <c r="C48" s="45">
        <v>44072</v>
      </c>
      <c r="D48">
        <f>+SUMIFS(Ventas2020!$I:$I,Ventas2020!$B:$B,"&gt;="&amp;'Tendencia Semanal'!B48,Ventas2020!$B:$B,"&lt;="&amp;'Tendencia Semanal'!C48)</f>
        <v>82629.101960784319</v>
      </c>
      <c r="E48">
        <f>+SUMIFS(Ventas2020!$N:$N,Ventas2020!$B:$B,"&gt;="&amp;'Tendencia Semanal'!B48,Ventas2020!$B:$B,"&lt;="&amp;'Tendencia Semanal'!C48)</f>
        <v>15685.410098039214</v>
      </c>
      <c r="F48" s="23">
        <f t="shared" si="6"/>
        <v>0.18982912467672095</v>
      </c>
    </row>
    <row r="49" spans="1:6" ht="15.75" thickBot="1" x14ac:dyDescent="0.3">
      <c r="A49" s="83"/>
      <c r="B49" s="17">
        <v>44074</v>
      </c>
      <c r="C49" s="17">
        <v>44074</v>
      </c>
      <c r="D49">
        <f>+SUMIFS(Ventas2020!$I:$I,Ventas2020!$B:$B,"&gt;="&amp;'Tendencia Semanal'!B49,Ventas2020!$B:$B,"&lt;="&amp;'Tendencia Semanal'!C49)</f>
        <v>19740.294117647059</v>
      </c>
      <c r="E49">
        <f>+SUMIFS(Ventas2020!$N:$N,Ventas2020!$B:$B,"&gt;="&amp;'Tendencia Semanal'!B49,Ventas2020!$B:$B,"&lt;="&amp;'Tendencia Semanal'!C49)</f>
        <v>3120.2647058823532</v>
      </c>
      <c r="F49" s="23">
        <f t="shared" si="6"/>
        <v>0.15806576575234293</v>
      </c>
    </row>
    <row r="50" spans="1:6" ht="16.5" thickTop="1" thickBot="1" x14ac:dyDescent="0.3">
      <c r="A50" s="61" t="s">
        <v>5</v>
      </c>
      <c r="B50" s="78"/>
      <c r="C50" s="78"/>
      <c r="D50" s="38">
        <f>SUM(D44:D49)</f>
        <v>428937.52509470453</v>
      </c>
      <c r="E50" s="36">
        <f>SUM(E44:E48)</f>
        <v>65331.052591369895</v>
      </c>
      <c r="F50" s="37">
        <f t="shared" si="6"/>
        <v>0.15230901650991141</v>
      </c>
    </row>
    <row r="51" spans="1:6" ht="16.5" thickTop="1" thickBot="1" x14ac:dyDescent="0.3">
      <c r="A51" s="79" t="s">
        <v>350</v>
      </c>
      <c r="B51" s="26">
        <v>44075</v>
      </c>
      <c r="C51" s="39">
        <v>44079</v>
      </c>
      <c r="D51">
        <f>+SUMIFS(Ventas2020!$I:$I,Ventas2020!$B:$B,"&gt;="&amp;'Tendencia Semanal'!B51,Ventas2020!$B:$B,"&lt;="&amp;'Tendencia Semanal'!C51)</f>
        <v>141962.60396158465</v>
      </c>
      <c r="E51">
        <f>+SUMIFS(Ventas2020!$N:$N,Ventas2020!$B:$B,"&gt;="&amp;'Tendencia Semanal'!B51,Ventas2020!$B:$B,"&lt;="&amp;'Tendencia Semanal'!C51)</f>
        <v>23564.436660664265</v>
      </c>
      <c r="F51" s="28">
        <f>+E51/D51</f>
        <v>0.16599045102779916</v>
      </c>
    </row>
    <row r="52" spans="1:6" ht="15.75" thickBot="1" x14ac:dyDescent="0.3">
      <c r="A52" s="80"/>
      <c r="B52" s="26">
        <v>44080</v>
      </c>
      <c r="C52" s="39">
        <v>44086</v>
      </c>
      <c r="D52">
        <f>+SUMIFS(Ventas2020!$I:$I,Ventas2020!$B:$B,"&gt;="&amp;'Tendencia Semanal'!B52,Ventas2020!$B:$B,"&lt;="&amp;'Tendencia Semanal'!C52)</f>
        <v>63844.370231729059</v>
      </c>
      <c r="E52">
        <f>+SUMIFS(Ventas2020!$N:$N,Ventas2020!$B:$B,"&gt;="&amp;'Tendencia Semanal'!B52,Ventas2020!$B:$B,"&lt;="&amp;'Tendencia Semanal'!C52)</f>
        <v>10465.951996434938</v>
      </c>
      <c r="F52" s="23">
        <f t="shared" ref="F52:F56" si="7">+E52/D52</f>
        <v>0.16392912888713282</v>
      </c>
    </row>
    <row r="53" spans="1:6" ht="15.75" thickBot="1" x14ac:dyDescent="0.3">
      <c r="A53" s="80"/>
      <c r="B53" s="26">
        <v>44088</v>
      </c>
      <c r="C53" s="39">
        <v>44093</v>
      </c>
      <c r="D53">
        <f>+SUMIFS(Ventas2020!$I:$I,Ventas2020!$B:$B,"&gt;="&amp;'Tendencia Semanal'!B53,Ventas2020!$B:$B,"&lt;="&amp;'Tendencia Semanal'!C53)</f>
        <v>113123.74090909091</v>
      </c>
      <c r="E53">
        <f>+SUMIFS(Ventas2020!$N:$N,Ventas2020!$B:$B,"&gt;="&amp;'Tendencia Semanal'!B53,Ventas2020!$B:$B,"&lt;="&amp;'Tendencia Semanal'!C53)</f>
        <v>19399.529797979798</v>
      </c>
      <c r="F53" s="23">
        <f t="shared" si="7"/>
        <v>0.17148946491762282</v>
      </c>
    </row>
    <row r="54" spans="1:6" ht="15.75" thickBot="1" x14ac:dyDescent="0.3">
      <c r="A54" s="80"/>
      <c r="B54" s="26">
        <v>44095</v>
      </c>
      <c r="C54" s="39">
        <v>44100</v>
      </c>
      <c r="D54">
        <f>+SUMIFS(Ventas2020!$I:$I,Ventas2020!$B:$B,"&gt;="&amp;'Tendencia Semanal'!B54,Ventas2020!$B:$B,"&lt;="&amp;'Tendencia Semanal'!C54)</f>
        <v>106576.05522875818</v>
      </c>
      <c r="E54">
        <f>+SUMIFS(Ventas2020!$N:$N,Ventas2020!$B:$B,"&gt;="&amp;'Tendencia Semanal'!B54,Ventas2020!$B:$B,"&lt;="&amp;'Tendencia Semanal'!C54)</f>
        <v>16225.110816993461</v>
      </c>
      <c r="F54" s="23">
        <f t="shared" si="7"/>
        <v>0.15223973886223668</v>
      </c>
    </row>
    <row r="55" spans="1:6" ht="15.75" thickBot="1" x14ac:dyDescent="0.3">
      <c r="A55" s="80"/>
      <c r="B55" s="26">
        <v>44102</v>
      </c>
      <c r="C55" s="39">
        <v>44104</v>
      </c>
      <c r="D55">
        <f>+SUMIFS(Ventas2020!$I:$I,Ventas2020!$B:$B,"&gt;="&amp;'Tendencia Semanal'!B55,Ventas2020!$B:$B,"&lt;="&amp;'Tendencia Semanal'!C55)</f>
        <v>55215.373366013075</v>
      </c>
      <c r="E55">
        <f>+SUMIFS(Ventas2020!$N:$N,Ventas2020!$B:$B,"&gt;="&amp;'Tendencia Semanal'!B55,Ventas2020!$B:$B,"&lt;="&amp;'Tendencia Semanal'!C55)</f>
        <v>7258.3776960784317</v>
      </c>
      <c r="F55" s="32">
        <f t="shared" si="7"/>
        <v>0.131455738748046</v>
      </c>
    </row>
    <row r="56" spans="1:6" ht="16.5" thickTop="1" thickBot="1" x14ac:dyDescent="0.3">
      <c r="A56" s="61" t="s">
        <v>5</v>
      </c>
      <c r="B56" s="61"/>
      <c r="C56" s="61"/>
      <c r="D56" s="38">
        <f>SUM(D51:D55)</f>
        <v>480722.14369717584</v>
      </c>
      <c r="E56" s="36">
        <f>SUM(E51:E55)</f>
        <v>76913.406968150899</v>
      </c>
      <c r="F56" s="37">
        <f t="shared" si="7"/>
        <v>0.15999555663614576</v>
      </c>
    </row>
    <row r="57" spans="1:6" ht="15.75" thickTop="1" x14ac:dyDescent="0.25">
      <c r="A57" s="68" t="s">
        <v>351</v>
      </c>
      <c r="B57" s="26">
        <v>44105</v>
      </c>
      <c r="C57" s="39">
        <v>44107</v>
      </c>
      <c r="D57">
        <f>+SUMIFS(Ventas2020!$I:$I,Ventas2020!$B:$B,"&gt;="&amp;'Tendencia Semanal'!B57,Ventas2020!$B:$B,"&lt;="&amp;'Tendencia Semanal'!C57)</f>
        <v>62213.541666666672</v>
      </c>
      <c r="E57">
        <f>+SUMIFS(Ventas2020!$N:$N,Ventas2020!$B:$B,"&gt;="&amp;'Tendencia Semanal'!B57,Ventas2020!$B:$B,"&lt;="&amp;'Tendencia Semanal'!C57)</f>
        <v>8622.0708333333332</v>
      </c>
      <c r="F57" s="28">
        <f>+E57/D57</f>
        <v>0.13858832984512348</v>
      </c>
    </row>
    <row r="58" spans="1:6" x14ac:dyDescent="0.25">
      <c r="A58" s="69"/>
      <c r="B58" s="17">
        <v>44109</v>
      </c>
      <c r="C58" s="14">
        <v>44114</v>
      </c>
      <c r="D58">
        <f>+SUMIFS(Ventas2020!$I:$I,Ventas2020!$B:$B,"&gt;="&amp;'Tendencia Semanal'!B58,Ventas2020!$B:$B,"&lt;="&amp;'Tendencia Semanal'!C58)</f>
        <v>93198.284967320258</v>
      </c>
      <c r="E58">
        <f>+SUMIFS(Ventas2020!$N:$N,Ventas2020!$B:$B,"&gt;="&amp;'Tendencia Semanal'!B58,Ventas2020!$B:$B,"&lt;="&amp;'Tendencia Semanal'!C58)</f>
        <v>15336.52869281046</v>
      </c>
      <c r="F58" s="23">
        <f t="shared" ref="F58:F62" si="8">+E58/D58</f>
        <v>0.16455805703064358</v>
      </c>
    </row>
    <row r="59" spans="1:6" x14ac:dyDescent="0.25">
      <c r="A59" s="69"/>
      <c r="B59" s="17">
        <v>44116</v>
      </c>
      <c r="C59" s="14">
        <v>44121</v>
      </c>
      <c r="D59">
        <f>+SUMIFS(Ventas2020!$I:$I,Ventas2020!$B:$B,"&gt;="&amp;'Tendencia Semanal'!B59,Ventas2020!$B:$B,"&lt;="&amp;'Tendencia Semanal'!C59)</f>
        <v>92130.569387755109</v>
      </c>
      <c r="E59">
        <f>+SUMIFS(Ventas2020!$N:$N,Ventas2020!$B:$B,"&gt;="&amp;'Tendencia Semanal'!B59,Ventas2020!$B:$B,"&lt;="&amp;'Tendencia Semanal'!C59)</f>
        <v>12945.925215419502</v>
      </c>
      <c r="F59" s="23">
        <f t="shared" si="8"/>
        <v>0.14051715192308492</v>
      </c>
    </row>
    <row r="60" spans="1:6" x14ac:dyDescent="0.25">
      <c r="A60" s="69"/>
      <c r="B60" s="17">
        <v>44123</v>
      </c>
      <c r="C60" s="14">
        <v>44128</v>
      </c>
      <c r="D60">
        <f>+SUMIFS(Ventas2020!$I:$I,Ventas2020!$B:$B,"&gt;="&amp;'Tendencia Semanal'!B60,Ventas2020!$B:$B,"&lt;="&amp;'Tendencia Semanal'!C60)</f>
        <v>86734.845751633984</v>
      </c>
      <c r="E60">
        <f>+SUMIFS(Ventas2020!$N:$N,Ventas2020!$B:$B,"&gt;="&amp;'Tendencia Semanal'!B60,Ventas2020!$B:$B,"&lt;="&amp;'Tendencia Semanal'!C60)</f>
        <v>13115.48117647059</v>
      </c>
      <c r="F60" s="23">
        <f t="shared" si="8"/>
        <v>0.1512135181980595</v>
      </c>
    </row>
    <row r="61" spans="1:6" ht="15.75" thickBot="1" x14ac:dyDescent="0.3">
      <c r="A61" s="70"/>
      <c r="B61" s="18">
        <v>44130</v>
      </c>
      <c r="C61" s="19">
        <v>44135</v>
      </c>
      <c r="D61">
        <f>+SUMIFS(Ventas2020!$I:$I,Ventas2020!$B:$B,"&gt;="&amp;'Tendencia Semanal'!B61,Ventas2020!$B:$B,"&lt;="&amp;'Tendencia Semanal'!C61)</f>
        <v>202007.49934640524</v>
      </c>
      <c r="E61">
        <f>+SUMIFS(Ventas2020!$N:$N,Ventas2020!$B:$B,"&gt;="&amp;'Tendencia Semanal'!B61,Ventas2020!$B:$B,"&lt;="&amp;'Tendencia Semanal'!C61)</f>
        <v>25361.211633986932</v>
      </c>
      <c r="F61" s="32">
        <f t="shared" si="8"/>
        <v>0.12554589169235333</v>
      </c>
    </row>
    <row r="62" spans="1:6" ht="16.5" thickTop="1" thickBot="1" x14ac:dyDescent="0.3">
      <c r="A62" s="61" t="s">
        <v>5</v>
      </c>
      <c r="B62" s="61"/>
      <c r="C62" s="61"/>
      <c r="D62" s="38">
        <f>SUM(D57:D61)</f>
        <v>536284.74111978128</v>
      </c>
      <c r="E62" s="36">
        <f>SUM(E57:E61)</f>
        <v>75381.217552020811</v>
      </c>
      <c r="F62" s="37">
        <f t="shared" si="8"/>
        <v>0.14056192871462686</v>
      </c>
    </row>
    <row r="63" spans="1:6" ht="15.75" thickTop="1" x14ac:dyDescent="0.25">
      <c r="A63" s="79" t="s">
        <v>352</v>
      </c>
      <c r="B63" s="26">
        <v>44137</v>
      </c>
      <c r="C63" s="39">
        <v>44142</v>
      </c>
      <c r="D63">
        <f>+SUMIFS(Ventas2020!$I:$I,Ventas2020!$B:$B,"&gt;="&amp;'Tendencia Semanal'!B63,Ventas2020!$B:$B,"&lt;="&amp;'Tendencia Semanal'!C63)</f>
        <v>127370.58549019608</v>
      </c>
      <c r="E63">
        <f>+SUMIFS(Ventas2020!$N:$N,Ventas2020!$B:$B,"&gt;="&amp;'Tendencia Semanal'!B63,Ventas2020!$B:$B,"&lt;="&amp;'Tendencia Semanal'!C63)</f>
        <v>15678.400052287583</v>
      </c>
      <c r="F63" s="28">
        <f>+E63/D63</f>
        <v>0.12309278466411991</v>
      </c>
    </row>
    <row r="64" spans="1:6" x14ac:dyDescent="0.25">
      <c r="A64" s="80"/>
      <c r="B64" s="17">
        <v>44144</v>
      </c>
      <c r="C64" s="46">
        <v>44149</v>
      </c>
      <c r="D64">
        <f>+SUMIFS(Ventas2020!$I:$I,Ventas2020!$B:$B,"&gt;="&amp;'Tendencia Semanal'!B64,Ventas2020!$B:$B,"&lt;="&amp;'Tendencia Semanal'!C64)</f>
        <v>139940.05000000002</v>
      </c>
      <c r="E64">
        <f ca="1">+SUMIFS(Ventas2020!$N:$N,Ventas2020!$B:$B,"&gt;="&amp;'Tendencia Semanal'!B64,Ventas2020!$B:$B,"&lt;="&amp;'Tendencia Semanal'!C64)</f>
        <v>21061.396666666664</v>
      </c>
      <c r="F64" s="23">
        <f t="shared" ref="F64:F68" ca="1" si="9">+E64/D64</f>
        <v>0.15050299515161428</v>
      </c>
    </row>
    <row r="65" spans="1:6" x14ac:dyDescent="0.25">
      <c r="A65" s="80"/>
      <c r="B65" s="17">
        <v>44151</v>
      </c>
      <c r="C65" s="14">
        <v>44156</v>
      </c>
      <c r="D65">
        <f>+SUMIFS(Ventas2020!$I:$I,Ventas2020!$B:$B,"&gt;="&amp;'Tendencia Semanal'!B65,Ventas2020!$B:$B,"&lt;="&amp;'Tendencia Semanal'!C65)</f>
        <v>79699.262418300641</v>
      </c>
      <c r="E65">
        <f ca="1">+SUMIFS(Ventas2020!$N:$N,Ventas2020!$B:$B,"&gt;="&amp;'Tendencia Semanal'!B65,Ventas2020!$B:$B,"&lt;="&amp;'Tendencia Semanal'!C65)</f>
        <v>11095.848954248371</v>
      </c>
      <c r="F65" s="23">
        <f t="shared" ca="1" si="9"/>
        <v>0.13922147605346633</v>
      </c>
    </row>
    <row r="66" spans="1:6" x14ac:dyDescent="0.25">
      <c r="A66" s="80"/>
      <c r="B66" s="17">
        <v>44158</v>
      </c>
      <c r="C66" s="14">
        <v>44163</v>
      </c>
      <c r="D66">
        <f>+SUMIFS(Ventas2020!$I:$I,Ventas2020!$B:$B,"&gt;="&amp;'Tendencia Semanal'!B66,Ventas2020!$B:$B,"&lt;="&amp;'Tendencia Semanal'!C66)</f>
        <v>186809.71045751634</v>
      </c>
      <c r="E66">
        <f ca="1">+SUMIFS(Ventas2020!$N:$N,Ventas2020!$B:$B,"&gt;="&amp;'Tendencia Semanal'!B66,Ventas2020!$B:$B,"&lt;="&amp;'Tendencia Semanal'!C66)</f>
        <v>27189.271633986929</v>
      </c>
      <c r="F66" s="23">
        <f t="shared" ca="1" si="9"/>
        <v>0.14554528010025594</v>
      </c>
    </row>
    <row r="67" spans="1:6" ht="15.75" thickBot="1" x14ac:dyDescent="0.3">
      <c r="A67" s="80"/>
      <c r="B67" s="18">
        <v>44165</v>
      </c>
      <c r="C67" s="18">
        <v>44165</v>
      </c>
      <c r="D67">
        <f>+SUMIFS(Ventas2020!$I:$I,Ventas2020!$B:$B,"&gt;="&amp;'Tendencia Semanal'!B67,Ventas2020!$B:$B,"&lt;="&amp;'Tendencia Semanal'!C67)</f>
        <v>48477.95</v>
      </c>
      <c r="E67">
        <f ca="1">+SUMIFS(Ventas2020!$N:$N,Ventas2020!$B:$B,"&gt;="&amp;'Tendencia Semanal'!B67,Ventas2020!$B:$B,"&lt;="&amp;'Tendencia Semanal'!C67)</f>
        <v>6337.1933333333336</v>
      </c>
      <c r="F67" s="32">
        <f t="shared" ca="1" si="9"/>
        <v>0.13072321196200198</v>
      </c>
    </row>
    <row r="68" spans="1:6" ht="16.5" thickTop="1" thickBot="1" x14ac:dyDescent="0.3">
      <c r="A68" s="61" t="s">
        <v>5</v>
      </c>
      <c r="B68" s="61"/>
      <c r="C68" s="61"/>
      <c r="D68" s="38">
        <f>SUM(D63:D67)</f>
        <v>582297.55836601311</v>
      </c>
      <c r="E68" s="36">
        <f ca="1">SUM(E63:E67)</f>
        <v>81362.110640522878</v>
      </c>
      <c r="F68" s="37">
        <f t="shared" ca="1" si="9"/>
        <v>0.13972600343513947</v>
      </c>
    </row>
    <row r="69" spans="1:6" ht="15.75" thickTop="1" x14ac:dyDescent="0.25">
      <c r="A69" s="68" t="s">
        <v>162</v>
      </c>
      <c r="B69" s="26">
        <v>44166</v>
      </c>
      <c r="C69" s="39">
        <v>44170</v>
      </c>
      <c r="D69">
        <f>+SUMIFS(Ventas2020!$I:$I,Ventas2020!$B:$B,"&gt;="&amp;'Tendencia Semanal'!B69,Ventas2020!$B:$B,"&lt;="&amp;'Tendencia Semanal'!C69)</f>
        <v>88732.624829931956</v>
      </c>
      <c r="E69">
        <f ca="1">+SUMIFS(Ventas2020!$N:$N,Ventas2020!$B:$B,"&gt;="&amp;'Tendencia Semanal'!B69,Ventas2020!$B:$B,"&lt;="&amp;'Tendencia Semanal'!C69)</f>
        <v>13267.112780045351</v>
      </c>
      <c r="F69" s="28">
        <f ca="1">+E69/D69</f>
        <v>0.14951786679897683</v>
      </c>
    </row>
    <row r="70" spans="1:6" x14ac:dyDescent="0.25">
      <c r="A70" s="69"/>
      <c r="B70" s="17">
        <v>44172</v>
      </c>
      <c r="C70" s="14">
        <v>44177</v>
      </c>
      <c r="D70">
        <f>+SUMIFS(Ventas2020!$I:$I,Ventas2020!$B:$B,"&gt;="&amp;'Tendencia Semanal'!B70,Ventas2020!$B:$B,"&lt;="&amp;'Tendencia Semanal'!C70)</f>
        <v>132108.07</v>
      </c>
      <c r="E70">
        <f ca="1">+SUMIFS(Ventas2020!$N:$N,Ventas2020!$B:$B,"&gt;="&amp;'Tendencia Semanal'!B70,Ventas2020!$B:$B,"&lt;="&amp;'Tendencia Semanal'!C70)</f>
        <v>19054.715733333338</v>
      </c>
      <c r="F70" s="23">
        <f t="shared" ref="F70:F74" ca="1" si="10">+E70/D70</f>
        <v>0.1442358194570047</v>
      </c>
    </row>
    <row r="71" spans="1:6" x14ac:dyDescent="0.25">
      <c r="A71" s="69"/>
      <c r="B71" s="17">
        <v>44179</v>
      </c>
      <c r="C71" s="14">
        <v>44184</v>
      </c>
      <c r="D71">
        <f>+SUMIFS(Ventas2020!$I:$I,Ventas2020!$B:$B,"&gt;="&amp;'Tendencia Semanal'!B71,Ventas2020!$B:$B,"&lt;="&amp;'Tendencia Semanal'!C71)</f>
        <v>0</v>
      </c>
      <c r="E71">
        <f>+SUMIFS(Ventas2020!$N:$N,Ventas2020!$B:$B,"&gt;="&amp;'Tendencia Semanal'!B71,Ventas2020!$B:$B,"&lt;="&amp;'Tendencia Semanal'!C71)</f>
        <v>0</v>
      </c>
      <c r="F71" s="23" t="e">
        <f t="shared" si="10"/>
        <v>#DIV/0!</v>
      </c>
    </row>
    <row r="72" spans="1:6" x14ac:dyDescent="0.25">
      <c r="A72" s="69"/>
      <c r="B72" s="17">
        <v>44186</v>
      </c>
      <c r="C72" s="14">
        <v>44191</v>
      </c>
      <c r="D72">
        <f>+SUMIFS(Ventas2020!$I:$I,Ventas2020!$B:$B,"&gt;="&amp;'Tendencia Semanal'!B72,Ventas2020!$B:$B,"&lt;="&amp;'Tendencia Semanal'!C72)</f>
        <v>0</v>
      </c>
      <c r="E72">
        <f>+SUMIFS(Ventas2020!$N:$N,Ventas2020!$B:$B,"&gt;="&amp;'Tendencia Semanal'!B72,Ventas2020!$B:$B,"&lt;="&amp;'Tendencia Semanal'!C72)</f>
        <v>0</v>
      </c>
      <c r="F72" s="23" t="e">
        <f t="shared" si="10"/>
        <v>#DIV/0!</v>
      </c>
    </row>
    <row r="73" spans="1:6" ht="15.75" thickBot="1" x14ac:dyDescent="0.3">
      <c r="A73" s="70"/>
      <c r="B73" s="18">
        <v>44193</v>
      </c>
      <c r="C73" s="19">
        <v>44196</v>
      </c>
      <c r="D73">
        <f>+SUMIFS(Ventas2020!$I:$I,Ventas2020!$B:$B,"&gt;="&amp;'Tendencia Semanal'!B73,Ventas2020!$B:$B,"&lt;="&amp;'Tendencia Semanal'!C73)</f>
        <v>0</v>
      </c>
      <c r="E73">
        <f>+SUMIFS(Ventas2020!$N:$N,Ventas2020!$B:$B,"&gt;="&amp;'Tendencia Semanal'!B73,Ventas2020!$B:$B,"&lt;="&amp;'Tendencia Semanal'!C73)</f>
        <v>0</v>
      </c>
      <c r="F73" s="32" t="e">
        <f t="shared" si="10"/>
        <v>#DIV/0!</v>
      </c>
    </row>
    <row r="74" spans="1:6" ht="16.5" thickTop="1" thickBot="1" x14ac:dyDescent="0.3">
      <c r="A74" s="61" t="s">
        <v>5</v>
      </c>
      <c r="B74" s="61"/>
      <c r="C74" s="61"/>
      <c r="D74" s="38">
        <f>SUM(D69:D73)</f>
        <v>220840.69482993195</v>
      </c>
      <c r="E74" s="36">
        <f ca="1">SUM(E69:E73)</f>
        <v>32321.828513378689</v>
      </c>
      <c r="F74" s="37">
        <f t="shared" ca="1" si="10"/>
        <v>0.14635811818229211</v>
      </c>
    </row>
    <row r="75" spans="1:6" ht="15.75" thickTop="1" x14ac:dyDescent="0.25"/>
  </sheetData>
  <mergeCells count="26">
    <mergeCell ref="A63:A67"/>
    <mergeCell ref="A68:C68"/>
    <mergeCell ref="A69:A73"/>
    <mergeCell ref="A74:C74"/>
    <mergeCell ref="A56:C56"/>
    <mergeCell ref="A57:A61"/>
    <mergeCell ref="A62:C62"/>
    <mergeCell ref="A38:A42"/>
    <mergeCell ref="A43:C43"/>
    <mergeCell ref="A50:C50"/>
    <mergeCell ref="A51:A55"/>
    <mergeCell ref="A44:A49"/>
    <mergeCell ref="A26:A30"/>
    <mergeCell ref="A31:C31"/>
    <mergeCell ref="A32:A36"/>
    <mergeCell ref="A37:C37"/>
    <mergeCell ref="G1:G13"/>
    <mergeCell ref="A25:C25"/>
    <mergeCell ref="B1:C1"/>
    <mergeCell ref="A2:A6"/>
    <mergeCell ref="A8:A12"/>
    <mergeCell ref="A14:A18"/>
    <mergeCell ref="A20:A24"/>
    <mergeCell ref="A7:C7"/>
    <mergeCell ref="A13:C13"/>
    <mergeCell ref="A19:C19"/>
  </mergeCells>
  <conditionalFormatting sqref="I2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16" sqref="H16"/>
    </sheetView>
  </sheetViews>
  <sheetFormatPr baseColWidth="10" defaultRowHeight="15" x14ac:dyDescent="0.25"/>
  <cols>
    <col min="4" max="4" width="11.85546875" bestFit="1" customWidth="1"/>
    <col min="5" max="5" width="20.42578125" customWidth="1"/>
  </cols>
  <sheetData>
    <row r="1" spans="1:6" x14ac:dyDescent="0.25">
      <c r="A1" s="84" t="s">
        <v>451</v>
      </c>
      <c r="B1" s="84"/>
      <c r="C1" s="84"/>
      <c r="D1" s="84"/>
      <c r="E1" s="84"/>
      <c r="F1" s="84"/>
    </row>
    <row r="2" spans="1:6" x14ac:dyDescent="0.25">
      <c r="A2" s="85" t="s">
        <v>7</v>
      </c>
      <c r="B2" s="86"/>
      <c r="C2" s="87"/>
      <c r="D2" s="47" t="s">
        <v>3</v>
      </c>
      <c r="E2" s="47" t="s">
        <v>452</v>
      </c>
      <c r="F2" s="47" t="s">
        <v>11</v>
      </c>
    </row>
    <row r="3" spans="1:6" x14ac:dyDescent="0.25">
      <c r="A3" s="47" t="s">
        <v>8</v>
      </c>
      <c r="B3" s="51">
        <v>43831</v>
      </c>
      <c r="C3" s="51">
        <v>43861</v>
      </c>
      <c r="D3" s="3">
        <f>+SUMIFS(Ventas2020!$G:$G,Ventas2020!$B:$B,"&gt;="&amp;'Drytec Bond Plus'!B3,Ventas2020!$B:$B,"&lt;="&amp;C3,Ventas2020!$F:$F,Ventas2020!$F$9)</f>
        <v>149.71</v>
      </c>
      <c r="E3" s="3">
        <f>+SUMIFS(Ventas2020!$I:$I,Ventas2020!$B:$B,"&gt;="&amp;'Drytec Bond Plus'!B3,Ventas2020!$B:$B,"&lt;="&amp;C3,Ventas2020!$F:$F,Ventas2020!$F$9)</f>
        <v>26310.7</v>
      </c>
      <c r="F3" s="3">
        <f>+SUMIFS(Ventas2020!$N:$N,Ventas2020!$B:$B,"&gt;="&amp;'Drytec Bond Plus'!B3,Ventas2020!$B:$B,"&lt;="&amp;C3,Ventas2020!$F:$F,Ventas2020!$F$9)</f>
        <v>6848.4</v>
      </c>
    </row>
    <row r="4" spans="1:6" x14ac:dyDescent="0.25">
      <c r="A4" s="47" t="s">
        <v>161</v>
      </c>
      <c r="B4" s="51">
        <v>43862</v>
      </c>
      <c r="C4" s="51">
        <v>43890</v>
      </c>
      <c r="D4" s="3">
        <f>+SUMIFS(Ventas2020!$G:$G,Ventas2020!$B:$B,"&gt;="&amp;'Drytec Bond Plus'!B4,Ventas2020!$B:$B,"&lt;="&amp;C4,Ventas2020!$F:$F,Ventas2020!$F$9)</f>
        <v>257</v>
      </c>
      <c r="E4" s="3">
        <f>+SUMIFS(Ventas2020!$I:$I,Ventas2020!$B:$B,"&gt;="&amp;'Drytec Bond Plus'!B4,Ventas2020!$B:$B,"&lt;="&amp;C4,Ventas2020!$F:$F,Ventas2020!$F$9)</f>
        <v>43520</v>
      </c>
      <c r="F4" s="3">
        <f>+SUMIFS(Ventas2020!$N:$N,Ventas2020!$B:$B,"&gt;="&amp;'Drytec Bond Plus'!B4,Ventas2020!$B:$B,"&lt;="&amp;C4,Ventas2020!$F:$F,Ventas2020!$F$9)</f>
        <v>11514</v>
      </c>
    </row>
    <row r="5" spans="1:6" x14ac:dyDescent="0.25">
      <c r="A5" s="47" t="s">
        <v>276</v>
      </c>
      <c r="B5" s="51">
        <v>43891</v>
      </c>
      <c r="C5" s="51">
        <v>43921</v>
      </c>
      <c r="D5" s="3">
        <f>+SUMIFS(Ventas2020!$G:$G,Ventas2020!$B:$B,"&gt;="&amp;'Drytec Bond Plus'!B5,Ventas2020!$B:$B,"&lt;="&amp;C5,Ventas2020!$F:$F,Ventas2020!$F$9)</f>
        <v>182</v>
      </c>
      <c r="E5" s="3">
        <f>+SUMIFS(Ventas2020!$I:$I,Ventas2020!$B:$B,"&gt;="&amp;'Drytec Bond Plus'!B5,Ventas2020!$B:$B,"&lt;="&amp;C5,Ventas2020!$F:$F,Ventas2020!$F$9)</f>
        <v>30940</v>
      </c>
      <c r="F5" s="3">
        <f>+SUMIFS(Ventas2020!$N:$N,Ventas2020!$B:$B,"&gt;="&amp;'Drytec Bond Plus'!B5,Ventas2020!$B:$B,"&lt;="&amp;C5,Ventas2020!$F:$F,Ventas2020!$F$9)</f>
        <v>7631</v>
      </c>
    </row>
    <row r="6" spans="1:6" x14ac:dyDescent="0.25">
      <c r="A6" s="47" t="s">
        <v>319</v>
      </c>
      <c r="B6" s="51">
        <v>43922</v>
      </c>
      <c r="C6" s="52">
        <v>43951</v>
      </c>
      <c r="D6" s="3">
        <f>+SUMIFS(Ventas2020!$G:$G,Ventas2020!$B:$B,"&gt;="&amp;'Drytec Bond Plus'!B6,Ventas2020!$B:$B,"&lt;="&amp;C6,Ventas2020!$F:$F,Ventas2020!$F$9)</f>
        <v>70</v>
      </c>
      <c r="E6" s="3">
        <f>+SUMIFS(Ventas2020!$I:$I,Ventas2020!$B:$B,"&gt;="&amp;'Drytec Bond Plus'!B6,Ventas2020!$B:$B,"&lt;="&amp;C6,Ventas2020!$F:$F,Ventas2020!$F$9)</f>
        <v>11760</v>
      </c>
      <c r="F6" s="3">
        <f>+SUMIFS(Ventas2020!$N:$N,Ventas2020!$B:$B,"&gt;="&amp;'Drytec Bond Plus'!B6,Ventas2020!$B:$B,"&lt;="&amp;C6,Ventas2020!$F:$F,Ventas2020!$F$9)</f>
        <v>3268</v>
      </c>
    </row>
    <row r="7" spans="1:6" x14ac:dyDescent="0.25">
      <c r="A7" s="47" t="s">
        <v>336</v>
      </c>
      <c r="B7" s="51">
        <v>43952</v>
      </c>
      <c r="C7" s="51">
        <v>43982</v>
      </c>
      <c r="D7" s="3">
        <f>+SUMIFS(Ventas2020!$G:$G,Ventas2020!$B:$B,"&gt;="&amp;'Drytec Bond Plus'!B7,Ventas2020!$B:$B,"&lt;="&amp;C7,Ventas2020!$F:$F,Ventas2020!$F$9)</f>
        <v>80</v>
      </c>
      <c r="E7" s="3">
        <f>+SUMIFS(Ventas2020!$I:$I,Ventas2020!$B:$B,"&gt;="&amp;'Drytec Bond Plus'!B7,Ventas2020!$B:$B,"&lt;="&amp;C7,Ventas2020!$F:$F,Ventas2020!$F$9)</f>
        <v>13390</v>
      </c>
      <c r="F7" s="3">
        <f>+SUMIFS(Ventas2020!$N:$N,Ventas2020!$B:$B,"&gt;="&amp;'Drytec Bond Plus'!B7,Ventas2020!$B:$B,"&lt;="&amp;C7,Ventas2020!$F:$F,Ventas2020!$F$9)</f>
        <v>3550</v>
      </c>
    </row>
    <row r="8" spans="1:6" x14ac:dyDescent="0.25">
      <c r="A8" s="47" t="s">
        <v>347</v>
      </c>
      <c r="B8" s="52">
        <v>43983</v>
      </c>
      <c r="C8" s="52">
        <v>44012</v>
      </c>
      <c r="D8" s="3">
        <f>+SUMIFS(Ventas2020!$G:$G,Ventas2020!$B:$B,"&gt;="&amp;'Drytec Bond Plus'!B8,Ventas2020!$B:$B,"&lt;="&amp;C8,Ventas2020!$F:$F,Ventas2020!$F$9)</f>
        <v>193</v>
      </c>
      <c r="E8" s="3">
        <f>+SUMIFS(Ventas2020!$I:$I,Ventas2020!$B:$B,"&gt;="&amp;'Drytec Bond Plus'!B8,Ventas2020!$B:$B,"&lt;="&amp;C8,Ventas2020!$F:$F,Ventas2020!$F$9)</f>
        <v>32560</v>
      </c>
      <c r="F8" s="3">
        <f>+SUMIFS(Ventas2020!$N:$N,Ventas2020!$B:$B,"&gt;="&amp;'Drytec Bond Plus'!B8,Ventas2020!$B:$B,"&lt;="&amp;C8,Ventas2020!$F:$F,Ventas2020!$F$9)</f>
        <v>8821</v>
      </c>
    </row>
    <row r="9" spans="1:6" x14ac:dyDescent="0.25">
      <c r="A9" s="47" t="s">
        <v>348</v>
      </c>
      <c r="B9" s="51">
        <v>44013</v>
      </c>
      <c r="C9" s="51">
        <v>44043</v>
      </c>
      <c r="D9" s="3">
        <f>+SUMIFS(Ventas2020!$G:$G,Ventas2020!$B:$B,"&gt;="&amp;'Drytec Bond Plus'!B9,Ventas2020!$B:$B,"&lt;="&amp;C9,Ventas2020!$F:$F,Ventas2020!$F$9)</f>
        <v>213</v>
      </c>
      <c r="E9" s="3">
        <f>+SUMIFS(Ventas2020!$I:$I,Ventas2020!$B:$B,"&gt;="&amp;'Drytec Bond Plus'!B9,Ventas2020!$B:$B,"&lt;="&amp;C9,Ventas2020!$F:$F,Ventas2020!$F$9)</f>
        <v>36210</v>
      </c>
      <c r="F9" s="3">
        <f>+SUMIFS(Ventas2020!$N:$N,Ventas2020!$B:$B,"&gt;="&amp;'Drytec Bond Plus'!B9,Ventas2020!$B:$B,"&lt;="&amp;C9,Ventas2020!$F:$F,Ventas2020!$F$9)</f>
        <v>10011</v>
      </c>
    </row>
    <row r="10" spans="1:6" x14ac:dyDescent="0.25">
      <c r="A10" s="47" t="s">
        <v>349</v>
      </c>
      <c r="B10" s="51">
        <v>44044</v>
      </c>
      <c r="C10" s="51">
        <v>44074</v>
      </c>
      <c r="D10" s="3">
        <f>+SUMIFS(Ventas2020!$G:$G,Ventas2020!$B:$B,"&gt;="&amp;'Drytec Bond Plus'!B10,Ventas2020!$B:$B,"&lt;="&amp;C10,Ventas2020!$F:$F,Ventas2020!$F$9)</f>
        <v>76.849999999999994</v>
      </c>
      <c r="E10" s="3">
        <f>+SUMIFS(Ventas2020!$I:$I,Ventas2020!$B:$B,"&gt;="&amp;'Drytec Bond Plus'!B10,Ventas2020!$B:$B,"&lt;="&amp;C10,Ventas2020!$F:$F,Ventas2020!$F$9)</f>
        <v>13064.5</v>
      </c>
      <c r="F10" s="3">
        <f>+SUMIFS(Ventas2020!$N:$N,Ventas2020!$B:$B,"&gt;="&amp;'Drytec Bond Plus'!B10,Ventas2020!$B:$B,"&lt;="&amp;C10,Ventas2020!$F:$F,Ventas2020!$F$9)</f>
        <v>3611.95</v>
      </c>
    </row>
    <row r="11" spans="1:6" x14ac:dyDescent="0.25">
      <c r="A11" s="47" t="s">
        <v>350</v>
      </c>
      <c r="B11" s="51">
        <v>44075</v>
      </c>
      <c r="C11" s="52">
        <v>44104</v>
      </c>
      <c r="D11" s="3">
        <f>+SUMIFS(Ventas2020!$G:$G,Ventas2020!$B:$B,"&gt;="&amp;'Drytec Bond Plus'!B11,Ventas2020!$B:$B,"&lt;="&amp;C11,Ventas2020!$F:$F,Ventas2020!$F$9)</f>
        <v>118</v>
      </c>
      <c r="E11" s="3">
        <f>+SUMIFS(Ventas2020!$I:$I,Ventas2020!$B:$B,"&gt;="&amp;'Drytec Bond Plus'!B11,Ventas2020!$B:$B,"&lt;="&amp;C11,Ventas2020!$F:$F,Ventas2020!$F$9)</f>
        <v>20060</v>
      </c>
      <c r="F11" s="3">
        <f>+SUMIFS(Ventas2020!$N:$N,Ventas2020!$B:$B,"&gt;="&amp;'Drytec Bond Plus'!B11,Ventas2020!$B:$B,"&lt;="&amp;C11,Ventas2020!$F:$F,Ventas2020!$F$9)</f>
        <v>5238</v>
      </c>
    </row>
    <row r="12" spans="1:6" x14ac:dyDescent="0.25">
      <c r="A12" s="47" t="s">
        <v>351</v>
      </c>
      <c r="B12" s="51">
        <v>44105</v>
      </c>
      <c r="C12" s="51">
        <v>44135</v>
      </c>
      <c r="D12" s="3">
        <f>+SUMIFS(Ventas2020!$G:$G,Ventas2020!$B:$B,"&gt;="&amp;'Drytec Bond Plus'!B12,Ventas2020!$B:$B,"&lt;="&amp;C12,Ventas2020!$F:$F,Ventas2020!$F$9)</f>
        <v>141</v>
      </c>
      <c r="E12" s="3">
        <f>+SUMIFS(Ventas2020!$I:$I,Ventas2020!$B:$B,"&gt;="&amp;'Drytec Bond Plus'!B12,Ventas2020!$B:$B,"&lt;="&amp;C12,Ventas2020!$F:$F,Ventas2020!$F$9)</f>
        <v>23425</v>
      </c>
      <c r="F12" s="3">
        <f>+SUMIFS(Ventas2020!$N:$N,Ventas2020!$B:$B,"&gt;="&amp;'Drytec Bond Plus'!B12,Ventas2020!$B:$B,"&lt;="&amp;C12,Ventas2020!$F:$F,Ventas2020!$F$9)</f>
        <v>5806</v>
      </c>
    </row>
    <row r="13" spans="1:6" x14ac:dyDescent="0.25">
      <c r="A13" s="47" t="s">
        <v>352</v>
      </c>
      <c r="B13" s="51">
        <v>44136</v>
      </c>
      <c r="C13" s="51">
        <v>44165</v>
      </c>
      <c r="D13" s="3">
        <f>+SUMIFS(Ventas2020!$G:$G,Ventas2020!$B:$B,"&gt;="&amp;'Drytec Bond Plus'!B13,Ventas2020!$B:$B,"&lt;="&amp;C13,Ventas2020!$F:$F,Ventas2020!$F$9)</f>
        <v>207</v>
      </c>
      <c r="E13" s="3">
        <f>+SUMIFS(Ventas2020!$I:$I,Ventas2020!$B:$B,"&gt;="&amp;'Drytec Bond Plus'!B13,Ventas2020!$B:$B,"&lt;="&amp;C13,Ventas2020!$F:$F,Ventas2020!$F$9)</f>
        <v>31925</v>
      </c>
      <c r="F13" s="3">
        <f>+SUMIFS(Ventas2020!$N:$N,Ventas2020!$B:$B,"&gt;="&amp;'Drytec Bond Plus'!B13,Ventas2020!$B:$B,"&lt;="&amp;C13,Ventas2020!$F:$F,Ventas2020!$F$9)</f>
        <v>5382</v>
      </c>
    </row>
    <row r="14" spans="1:6" x14ac:dyDescent="0.25">
      <c r="A14" s="47" t="s">
        <v>162</v>
      </c>
      <c r="B14" s="51">
        <v>44166</v>
      </c>
      <c r="C14" s="51">
        <v>44196</v>
      </c>
      <c r="D14" s="3">
        <f>+SUMIFS(Ventas2020!$G:$G,Ventas2020!$B:$B,"&gt;="&amp;'Drytec Bond Plus'!B14,Ventas2020!$B:$B,"&lt;="&amp;C14,Ventas2020!$F:$F,Ventas2020!$F$9)</f>
        <v>106</v>
      </c>
      <c r="E14" s="3">
        <f>+SUMIFS(Ventas2020!$I:$I,Ventas2020!$B:$B,"&gt;="&amp;'Drytec Bond Plus'!B14,Ventas2020!$B:$B,"&lt;="&amp;C14,Ventas2020!$F:$F,Ventas2020!$F$9)</f>
        <v>16355</v>
      </c>
      <c r="F14" s="3">
        <f>+SUMIFS(Ventas2020!$N:$N,Ventas2020!$B:$B,"&gt;="&amp;'Drytec Bond Plus'!B14,Ventas2020!$B:$B,"&lt;="&amp;C14,Ventas2020!$F:$F,Ventas2020!$F$9)</f>
        <v>2893</v>
      </c>
    </row>
  </sheetData>
  <mergeCells count="2">
    <mergeCell ref="A1:F1"/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3" sqref="F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Compras2020</vt:lpstr>
      <vt:lpstr>Ventas2020</vt:lpstr>
      <vt:lpstr>Analisis</vt:lpstr>
      <vt:lpstr>Tendencia Diaria</vt:lpstr>
      <vt:lpstr>Tendencia Semanal</vt:lpstr>
      <vt:lpstr>Drytec Bond Plus</vt:lpstr>
      <vt:lpstr>Sistema de Apartado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</dc:creator>
  <cp:lastModifiedBy>Eddy Coronado</cp:lastModifiedBy>
  <dcterms:created xsi:type="dcterms:W3CDTF">2019-03-10T01:34:44Z</dcterms:created>
  <dcterms:modified xsi:type="dcterms:W3CDTF">2020-12-17T21:01:25Z</dcterms:modified>
</cp:coreProperties>
</file>