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8 CONSERVACIÓN MOMENTUM\"/>
    </mc:Choice>
  </mc:AlternateContent>
  <xr:revisionPtr revIDLastSave="0" documentId="13_ncr:1_{CE99F856-8680-4734-8902-C5B56207A96F}" xr6:coauthVersionLast="47" xr6:coauthVersionMax="47" xr10:uidLastSave="{00000000-0000-0000-0000-000000000000}"/>
  <bookViews>
    <workbookView xWindow="-108" yWindow="-108" windowWidth="23256" windowHeight="12576" activeTab="4" xr2:uid="{B0FD2435-BCE1-4A39-826D-907207756428}"/>
  </bookViews>
  <sheets>
    <sheet name="masas" sheetId="1" r:id="rId1"/>
    <sheet name="velocidades" sheetId="2" r:id="rId2"/>
    <sheet name="energiaCinetica" sheetId="6" r:id="rId3"/>
    <sheet name="coeficienteE" sheetId="4" r:id="rId4"/>
    <sheet name="energiaPerdid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6" l="1"/>
  <c r="Q12" i="6"/>
  <c r="S12" i="6"/>
  <c r="O16" i="7"/>
  <c r="N16" i="7"/>
  <c r="M16" i="7"/>
  <c r="M15" i="7"/>
  <c r="P16" i="7"/>
  <c r="M12" i="7"/>
  <c r="O4" i="6"/>
  <c r="K4" i="4"/>
  <c r="C13" i="1" l="1"/>
  <c r="C12" i="1"/>
  <c r="B10" i="1"/>
  <c r="P12" i="7"/>
  <c r="P13" i="7"/>
  <c r="Q13" i="7"/>
  <c r="R13" i="7"/>
  <c r="P14" i="7"/>
  <c r="Q14" i="7"/>
  <c r="R14" i="7"/>
  <c r="P15" i="7"/>
  <c r="Q15" i="7"/>
  <c r="R15" i="7"/>
  <c r="Q16" i="7"/>
  <c r="R16" i="7"/>
  <c r="R12" i="7"/>
  <c r="Q12" i="7"/>
  <c r="P5" i="7"/>
  <c r="Q5" i="7"/>
  <c r="R5" i="7"/>
  <c r="P6" i="7"/>
  <c r="Q6" i="7"/>
  <c r="R6" i="7"/>
  <c r="P7" i="7"/>
  <c r="Q7" i="7"/>
  <c r="R7" i="7"/>
  <c r="P8" i="7"/>
  <c r="Q8" i="7"/>
  <c r="R8" i="7"/>
  <c r="Q4" i="7"/>
  <c r="R4" i="7"/>
  <c r="P4" i="7"/>
  <c r="C16" i="7"/>
  <c r="B16" i="7"/>
  <c r="C15" i="7"/>
  <c r="B15" i="7"/>
  <c r="O15" i="7" s="1"/>
  <c r="C14" i="7"/>
  <c r="B14" i="7"/>
  <c r="M14" i="7" s="1"/>
  <c r="C13" i="7"/>
  <c r="B13" i="7"/>
  <c r="M13" i="7" s="1"/>
  <c r="C12" i="7"/>
  <c r="B12" i="7"/>
  <c r="C8" i="7"/>
  <c r="B8" i="7"/>
  <c r="O8" i="7" s="1"/>
  <c r="C7" i="7"/>
  <c r="B7" i="7"/>
  <c r="O7" i="7" s="1"/>
  <c r="C6" i="7"/>
  <c r="B6" i="7"/>
  <c r="O6" i="7" s="1"/>
  <c r="C5" i="7"/>
  <c r="B5" i="7"/>
  <c r="M5" i="7" s="1"/>
  <c r="C4" i="7"/>
  <c r="B4" i="7"/>
  <c r="N4" i="7" s="1"/>
  <c r="W16" i="6"/>
  <c r="W15" i="6"/>
  <c r="W14" i="6"/>
  <c r="W13" i="6"/>
  <c r="W12" i="6"/>
  <c r="S16" i="6"/>
  <c r="S15" i="6"/>
  <c r="S14" i="6"/>
  <c r="S13" i="6"/>
  <c r="W8" i="6"/>
  <c r="W7" i="6"/>
  <c r="W6" i="6"/>
  <c r="W5" i="6"/>
  <c r="W4" i="6"/>
  <c r="S8" i="6"/>
  <c r="S7" i="6"/>
  <c r="S6" i="6"/>
  <c r="S5" i="6"/>
  <c r="S4" i="6"/>
  <c r="O13" i="6"/>
  <c r="O14" i="6"/>
  <c r="O15" i="6"/>
  <c r="O16" i="6"/>
  <c r="O12" i="6"/>
  <c r="O8" i="6"/>
  <c r="O5" i="6"/>
  <c r="O6" i="6"/>
  <c r="O7" i="6"/>
  <c r="M16" i="4"/>
  <c r="M13" i="4"/>
  <c r="K13" i="4"/>
  <c r="L13" i="4"/>
  <c r="K14" i="4"/>
  <c r="L14" i="4"/>
  <c r="M14" i="4"/>
  <c r="K15" i="4"/>
  <c r="L15" i="4"/>
  <c r="M15" i="4"/>
  <c r="K16" i="4"/>
  <c r="L16" i="4"/>
  <c r="M12" i="4"/>
  <c r="L12" i="4"/>
  <c r="K12" i="4"/>
  <c r="M4" i="4"/>
  <c r="M5" i="4"/>
  <c r="M6" i="4"/>
  <c r="M7" i="4"/>
  <c r="M8" i="4"/>
  <c r="L5" i="4"/>
  <c r="L6" i="4"/>
  <c r="L7" i="4"/>
  <c r="L8" i="4"/>
  <c r="L4" i="4"/>
  <c r="K5" i="4"/>
  <c r="K6" i="4"/>
  <c r="K7" i="4"/>
  <c r="K8" i="4"/>
  <c r="C10" i="1"/>
  <c r="B11" i="1"/>
  <c r="C11" i="1"/>
  <c r="B12" i="1"/>
  <c r="B13" i="1"/>
  <c r="C16" i="6" s="1"/>
  <c r="O12" i="4" l="1"/>
  <c r="N12" i="4"/>
  <c r="O4" i="4"/>
  <c r="N4" i="4"/>
  <c r="M4" i="7"/>
  <c r="N8" i="7"/>
  <c r="N7" i="7"/>
  <c r="O4" i="7"/>
  <c r="N15" i="7"/>
  <c r="O5" i="7"/>
  <c r="N6" i="7"/>
  <c r="N12" i="7"/>
  <c r="O14" i="7"/>
  <c r="M8" i="7"/>
  <c r="N5" i="7"/>
  <c r="O12" i="7"/>
  <c r="N14" i="7"/>
  <c r="M7" i="7"/>
  <c r="M6" i="7"/>
  <c r="O13" i="7"/>
  <c r="N13" i="7"/>
  <c r="B13" i="2"/>
  <c r="S13" i="2" s="1"/>
  <c r="C8" i="2"/>
  <c r="C8" i="6"/>
  <c r="C12" i="6"/>
  <c r="C16" i="2"/>
  <c r="C6" i="2"/>
  <c r="B16" i="2"/>
  <c r="N16" i="2" s="1"/>
  <c r="C4" i="6"/>
  <c r="C6" i="6"/>
  <c r="C7" i="2"/>
  <c r="B4" i="6"/>
  <c r="B12" i="6"/>
  <c r="C13" i="6"/>
  <c r="B14" i="6"/>
  <c r="C14" i="2"/>
  <c r="B7" i="6"/>
  <c r="C14" i="6"/>
  <c r="B6" i="2"/>
  <c r="S6" i="2" s="1"/>
  <c r="C7" i="6"/>
  <c r="B16" i="6"/>
  <c r="B5" i="2"/>
  <c r="P5" i="2" s="1"/>
  <c r="B7" i="2"/>
  <c r="M7" i="2" s="1"/>
  <c r="B8" i="6"/>
  <c r="C5" i="2"/>
  <c r="Q5" i="2" s="1"/>
  <c r="B5" i="6"/>
  <c r="B15" i="6"/>
  <c r="C5" i="6"/>
  <c r="B13" i="6"/>
  <c r="C15" i="6"/>
  <c r="B6" i="6"/>
  <c r="B14" i="2"/>
  <c r="S14" i="2" s="1"/>
  <c r="S5" i="2"/>
  <c r="P16" i="2"/>
  <c r="P6" i="2"/>
  <c r="M6" i="2"/>
  <c r="C4" i="2"/>
  <c r="C15" i="2"/>
  <c r="B15" i="2"/>
  <c r="B4" i="2"/>
  <c r="B8" i="2"/>
  <c r="T8" i="2" s="1"/>
  <c r="C12" i="2"/>
  <c r="C13" i="2"/>
  <c r="N13" i="2" s="1"/>
  <c r="B12" i="2"/>
  <c r="P14" i="2" l="1"/>
  <c r="P13" i="2"/>
  <c r="M13" i="2"/>
  <c r="N6" i="2"/>
  <c r="V8" i="6"/>
  <c r="R8" i="6"/>
  <c r="N8" i="6"/>
  <c r="U8" i="6"/>
  <c r="Q8" i="6"/>
  <c r="M8" i="6"/>
  <c r="R6" i="6"/>
  <c r="T6" i="6" s="1"/>
  <c r="M6" i="6"/>
  <c r="P6" i="6" s="1"/>
  <c r="U6" i="6"/>
  <c r="Q6" i="6"/>
  <c r="V6" i="6"/>
  <c r="N6" i="6"/>
  <c r="M14" i="6"/>
  <c r="N14" i="6"/>
  <c r="Q14" i="6"/>
  <c r="R14" i="6"/>
  <c r="T14" i="6" s="1"/>
  <c r="U14" i="6"/>
  <c r="V14" i="6"/>
  <c r="Q13" i="6"/>
  <c r="R13" i="6"/>
  <c r="T13" i="6" s="1"/>
  <c r="U13" i="6"/>
  <c r="N13" i="6"/>
  <c r="V13" i="6"/>
  <c r="M13" i="6"/>
  <c r="U16" i="6"/>
  <c r="R16" i="6"/>
  <c r="V16" i="6"/>
  <c r="X16" i="6" s="1"/>
  <c r="M16" i="6"/>
  <c r="Q16" i="6"/>
  <c r="N16" i="6"/>
  <c r="U12" i="6"/>
  <c r="V12" i="6"/>
  <c r="M12" i="6"/>
  <c r="N12" i="6"/>
  <c r="V7" i="6"/>
  <c r="X7" i="6" s="1"/>
  <c r="R7" i="6"/>
  <c r="Q7" i="6"/>
  <c r="N7" i="6"/>
  <c r="P7" i="6" s="1"/>
  <c r="U7" i="6"/>
  <c r="M7" i="6"/>
  <c r="R4" i="6"/>
  <c r="N4" i="6"/>
  <c r="Q4" i="6"/>
  <c r="M4" i="6"/>
  <c r="V4" i="6"/>
  <c r="U4" i="6"/>
  <c r="Q15" i="6"/>
  <c r="R15" i="6"/>
  <c r="T15" i="6" s="1"/>
  <c r="M15" i="6"/>
  <c r="U15" i="6"/>
  <c r="V15" i="6"/>
  <c r="N15" i="6"/>
  <c r="N5" i="6"/>
  <c r="U5" i="6"/>
  <c r="Q5" i="6"/>
  <c r="M5" i="6"/>
  <c r="V5" i="6"/>
  <c r="R5" i="6"/>
  <c r="T5" i="6" s="1"/>
  <c r="Q16" i="2"/>
  <c r="R5" i="2"/>
  <c r="M5" i="2"/>
  <c r="T5" i="2"/>
  <c r="M16" i="2"/>
  <c r="O16" i="2" s="1"/>
  <c r="M14" i="2"/>
  <c r="N5" i="2"/>
  <c r="O5" i="2" s="1"/>
  <c r="T6" i="2"/>
  <c r="U6" i="2" s="1"/>
  <c r="P12" i="6"/>
  <c r="O6" i="2"/>
  <c r="S16" i="2"/>
  <c r="T16" i="2"/>
  <c r="U16" i="2" s="1"/>
  <c r="Q6" i="2"/>
  <c r="R6" i="2" s="1"/>
  <c r="T7" i="2"/>
  <c r="S7" i="2"/>
  <c r="N7" i="2"/>
  <c r="O7" i="2" s="1"/>
  <c r="P7" i="2"/>
  <c r="Q7" i="2"/>
  <c r="P8" i="6"/>
  <c r="O13" i="2"/>
  <c r="U5" i="2"/>
  <c r="X6" i="6"/>
  <c r="T13" i="2"/>
  <c r="U13" i="2" s="1"/>
  <c r="N15" i="2"/>
  <c r="T15" i="2"/>
  <c r="Q15" i="2"/>
  <c r="T14" i="2"/>
  <c r="U14" i="2" s="1"/>
  <c r="Q14" i="2"/>
  <c r="R14" i="2" s="1"/>
  <c r="N14" i="2"/>
  <c r="O14" i="2" s="1"/>
  <c r="Q13" i="2"/>
  <c r="R13" i="2" s="1"/>
  <c r="T12" i="2"/>
  <c r="Q12" i="2"/>
  <c r="N12" i="2"/>
  <c r="P4" i="6"/>
  <c r="R16" i="2"/>
  <c r="N4" i="2"/>
  <c r="T4" i="2"/>
  <c r="Q4" i="2"/>
  <c r="M8" i="2"/>
  <c r="Q8" i="2"/>
  <c r="S8" i="2"/>
  <c r="U8" i="2" s="1"/>
  <c r="N8" i="2"/>
  <c r="P8" i="2"/>
  <c r="P4" i="2"/>
  <c r="M4" i="2"/>
  <c r="S4" i="2"/>
  <c r="S12" i="2"/>
  <c r="P12" i="2"/>
  <c r="M12" i="2"/>
  <c r="P15" i="2"/>
  <c r="M15" i="2"/>
  <c r="S15" i="2"/>
  <c r="U7" i="2" l="1"/>
  <c r="U15" i="2"/>
  <c r="T4" i="6"/>
  <c r="P15" i="6"/>
  <c r="X4" i="6"/>
  <c r="X5" i="6"/>
  <c r="T12" i="6"/>
  <c r="X13" i="6"/>
  <c r="X15" i="6"/>
  <c r="P16" i="6"/>
  <c r="T16" i="6"/>
  <c r="X12" i="6"/>
  <c r="X14" i="6"/>
  <c r="T8" i="6"/>
  <c r="T7" i="6"/>
  <c r="P13" i="6"/>
  <c r="R7" i="2"/>
  <c r="R4" i="2"/>
  <c r="U4" i="2"/>
  <c r="X8" i="6"/>
  <c r="P14" i="6"/>
  <c r="P5" i="6"/>
  <c r="R15" i="2"/>
  <c r="R8" i="2"/>
  <c r="O4" i="2"/>
  <c r="O15" i="2"/>
  <c r="O12" i="2"/>
  <c r="R12" i="2"/>
  <c r="O8" i="2"/>
  <c r="U12" i="2"/>
</calcChain>
</file>

<file path=xl/sharedStrings.xml><?xml version="1.0" encoding="utf-8"?>
<sst xmlns="http://schemas.openxmlformats.org/spreadsheetml/2006/main" count="265" uniqueCount="43">
  <si>
    <t>masa [g]</t>
  </si>
  <si>
    <t>aleta</t>
  </si>
  <si>
    <t>Cuerpo</t>
  </si>
  <si>
    <t>deslizador</t>
  </si>
  <si>
    <t>accesorios</t>
  </si>
  <si>
    <t>Incertidumbre [g]</t>
  </si>
  <si>
    <t>Caso</t>
  </si>
  <si>
    <t>Choques plásticos</t>
  </si>
  <si>
    <t>m1&gt;m2</t>
  </si>
  <si>
    <t>m1&gt;&gt;m2</t>
  </si>
  <si>
    <t>m1&lt;m2</t>
  </si>
  <si>
    <t>m1&lt;&lt;m2</t>
  </si>
  <si>
    <t>m1=m2</t>
  </si>
  <si>
    <t>Choques elásticos</t>
  </si>
  <si>
    <t>Totales</t>
  </si>
  <si>
    <t>deslizador completo</t>
  </si>
  <si>
    <t>Prueba 1</t>
  </si>
  <si>
    <t>Prueba 2</t>
  </si>
  <si>
    <t>Prueba 3</t>
  </si>
  <si>
    <t>m1 [g]</t>
  </si>
  <si>
    <t>m2 [g]</t>
  </si>
  <si>
    <t>v1 [cm/s]</t>
  </si>
  <si>
    <t>v1' [cm/s]</t>
  </si>
  <si>
    <t>v2' [cm/s]</t>
  </si>
  <si>
    <t>pi [g cm/s]</t>
  </si>
  <si>
    <t>pf [g cm/s]</t>
  </si>
  <si>
    <t>pesas1</t>
  </si>
  <si>
    <t>pesas2</t>
  </si>
  <si>
    <t>pesas3</t>
  </si>
  <si>
    <t>pesas4</t>
  </si>
  <si>
    <t>Ki [ergios]</t>
  </si>
  <si>
    <t>Kf [ergios]</t>
  </si>
  <si>
    <t>e</t>
  </si>
  <si>
    <t>|ΔK| [ergios]</t>
  </si>
  <si>
    <t>C [ergios]</t>
  </si>
  <si>
    <t xml:space="preserve">%Error </t>
  </si>
  <si>
    <t>% Error K</t>
  </si>
  <si>
    <t>% Error p</t>
  </si>
  <si>
    <t>pesa pequeña</t>
  </si>
  <si>
    <t>pesa grande</t>
  </si>
  <si>
    <t>pesa muy grande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</si>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</sst>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theme="1"/>
      </bottom>
      <diagonal/>
    </border>
    <border>
      <left/>
      <right/>
      <top style="thin">
        <color rgb="FFFF000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0" fillId="0" borderId="0" xfId="0" applyNumberFormat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1993-19BC-4C14-8D32-EA98F8DBD0AA}">
  <dimension ref="A1:C13"/>
  <sheetViews>
    <sheetView zoomScaleNormal="100" workbookViewId="0">
      <selection activeCell="C13" sqref="C13"/>
    </sheetView>
  </sheetViews>
  <sheetFormatPr baseColWidth="10" defaultRowHeight="14.4" x14ac:dyDescent="0.3"/>
  <cols>
    <col min="1" max="1" width="20.44140625" customWidth="1"/>
    <col min="3" max="3" width="18.33203125" customWidth="1"/>
  </cols>
  <sheetData>
    <row r="1" spans="1:3" x14ac:dyDescent="0.3">
      <c r="A1" s="9" t="s">
        <v>2</v>
      </c>
      <c r="B1" s="10" t="s">
        <v>0</v>
      </c>
      <c r="C1" s="12" t="s">
        <v>5</v>
      </c>
    </row>
    <row r="2" spans="1:3" x14ac:dyDescent="0.3">
      <c r="A2" s="8" t="s">
        <v>1</v>
      </c>
      <c r="B2" s="11">
        <v>10.8</v>
      </c>
      <c r="C2" s="11">
        <v>0.1</v>
      </c>
    </row>
    <row r="3" spans="1:3" x14ac:dyDescent="0.3">
      <c r="A3" s="8" t="s">
        <v>3</v>
      </c>
      <c r="B3" s="11">
        <v>181.55</v>
      </c>
      <c r="C3" s="11">
        <v>0.05</v>
      </c>
    </row>
    <row r="4" spans="1:3" x14ac:dyDescent="0.3">
      <c r="A4" s="8" t="s">
        <v>4</v>
      </c>
      <c r="B4" s="11">
        <v>11.3</v>
      </c>
      <c r="C4" s="11">
        <v>0.1</v>
      </c>
    </row>
    <row r="5" spans="1:3" x14ac:dyDescent="0.3">
      <c r="A5" s="8" t="s">
        <v>26</v>
      </c>
      <c r="B5" s="11">
        <v>10.4</v>
      </c>
      <c r="C5" s="11">
        <v>0.05</v>
      </c>
    </row>
    <row r="6" spans="1:3" x14ac:dyDescent="0.3">
      <c r="A6" s="8" t="s">
        <v>27</v>
      </c>
      <c r="B6" s="11">
        <v>40.6</v>
      </c>
      <c r="C6" s="11">
        <v>0.05</v>
      </c>
    </row>
    <row r="7" spans="1:3" x14ac:dyDescent="0.3">
      <c r="A7" s="8" t="s">
        <v>28</v>
      </c>
      <c r="B7" s="11">
        <v>20.399999999999999</v>
      </c>
      <c r="C7" s="11">
        <v>0.05</v>
      </c>
    </row>
    <row r="8" spans="1:3" x14ac:dyDescent="0.3">
      <c r="A8" s="14" t="s">
        <v>29</v>
      </c>
      <c r="B8" s="15">
        <v>101.4</v>
      </c>
      <c r="C8" s="15">
        <v>0.05</v>
      </c>
    </row>
    <row r="9" spans="1:3" x14ac:dyDescent="0.3">
      <c r="A9" s="13" t="s">
        <v>14</v>
      </c>
      <c r="B9" s="12"/>
      <c r="C9" s="12"/>
    </row>
    <row r="10" spans="1:3" x14ac:dyDescent="0.3">
      <c r="A10" s="8" t="s">
        <v>38</v>
      </c>
      <c r="B10" s="11">
        <f>B5</f>
        <v>10.4</v>
      </c>
      <c r="C10" s="11">
        <f>C3</f>
        <v>0.05</v>
      </c>
    </row>
    <row r="11" spans="1:3" x14ac:dyDescent="0.3">
      <c r="A11" s="8" t="s">
        <v>39</v>
      </c>
      <c r="B11" s="11">
        <f>B7</f>
        <v>20.399999999999999</v>
      </c>
      <c r="C11" s="11">
        <f>C7</f>
        <v>0.05</v>
      </c>
    </row>
    <row r="12" spans="1:3" x14ac:dyDescent="0.3">
      <c r="A12" s="8" t="s">
        <v>40</v>
      </c>
      <c r="B12" s="11">
        <f>B7+B8+B6</f>
        <v>162.4</v>
      </c>
      <c r="C12" s="11">
        <f>C8+C7+C6</f>
        <v>0.15000000000000002</v>
      </c>
    </row>
    <row r="13" spans="1:3" x14ac:dyDescent="0.3">
      <c r="A13" s="14" t="s">
        <v>15</v>
      </c>
      <c r="B13" s="15">
        <f>B2+B3+B4</f>
        <v>203.65000000000003</v>
      </c>
      <c r="C13" s="15">
        <f>C2+C3+C4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C6D5-700D-413E-82A3-60AAE2F5E85F}">
  <dimension ref="A1:U16"/>
  <sheetViews>
    <sheetView zoomScaleNormal="100" workbookViewId="0"/>
  </sheetViews>
  <sheetFormatPr baseColWidth="10" defaultRowHeight="14.4" x14ac:dyDescent="0.3"/>
  <cols>
    <col min="1" max="1" width="10.44140625" customWidth="1"/>
    <col min="2" max="3" width="11.21875" customWidth="1"/>
    <col min="4" max="12" width="12.21875" customWidth="1"/>
    <col min="15" max="15" width="16.77734375" customWidth="1"/>
    <col min="18" max="18" width="15" customWidth="1"/>
    <col min="21" max="21" width="15.6640625" customWidth="1"/>
  </cols>
  <sheetData>
    <row r="1" spans="1:21" ht="16.2" customHeight="1" x14ac:dyDescent="0.3">
      <c r="A1" s="18"/>
      <c r="B1" s="37" t="s">
        <v>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19"/>
    </row>
    <row r="2" spans="1:21" ht="16.2" customHeight="1" x14ac:dyDescent="0.3">
      <c r="A2" s="16"/>
      <c r="B2" s="35"/>
      <c r="C2" s="35"/>
      <c r="D2" s="35" t="s">
        <v>16</v>
      </c>
      <c r="E2" s="35"/>
      <c r="F2" s="35"/>
      <c r="G2" s="35" t="s">
        <v>17</v>
      </c>
      <c r="H2" s="35"/>
      <c r="I2" s="35"/>
      <c r="J2" s="35" t="s">
        <v>18</v>
      </c>
      <c r="K2" s="35"/>
      <c r="L2" s="35"/>
      <c r="M2" s="36" t="s">
        <v>16</v>
      </c>
      <c r="N2" s="36"/>
      <c r="O2" s="36"/>
      <c r="P2" s="36" t="s">
        <v>17</v>
      </c>
      <c r="Q2" s="36"/>
      <c r="R2" s="36"/>
      <c r="S2" s="36" t="s">
        <v>18</v>
      </c>
      <c r="T2" s="36"/>
      <c r="U2" s="36"/>
    </row>
    <row r="3" spans="1:21" ht="16.2" customHeight="1" x14ac:dyDescent="0.3">
      <c r="A3" s="1" t="s">
        <v>6</v>
      </c>
      <c r="B3" s="2" t="s">
        <v>19</v>
      </c>
      <c r="C3" s="2" t="s">
        <v>20</v>
      </c>
      <c r="D3" s="1" t="s">
        <v>21</v>
      </c>
      <c r="E3" s="1" t="s">
        <v>22</v>
      </c>
      <c r="F3" s="1" t="s">
        <v>23</v>
      </c>
      <c r="G3" s="1" t="s">
        <v>21</v>
      </c>
      <c r="H3" s="1" t="s">
        <v>22</v>
      </c>
      <c r="I3" s="1" t="s">
        <v>23</v>
      </c>
      <c r="J3" s="1" t="s">
        <v>21</v>
      </c>
      <c r="K3" s="1" t="s">
        <v>22</v>
      </c>
      <c r="L3" s="1" t="s">
        <v>23</v>
      </c>
      <c r="M3" s="2" t="s">
        <v>24</v>
      </c>
      <c r="N3" s="2" t="s">
        <v>25</v>
      </c>
      <c r="O3" s="31" t="s">
        <v>37</v>
      </c>
      <c r="P3" s="2" t="s">
        <v>24</v>
      </c>
      <c r="Q3" s="2" t="s">
        <v>25</v>
      </c>
      <c r="R3" s="31" t="s">
        <v>37</v>
      </c>
      <c r="S3" s="2" t="s">
        <v>24</v>
      </c>
      <c r="T3" s="2" t="s">
        <v>25</v>
      </c>
      <c r="U3" s="31" t="s">
        <v>37</v>
      </c>
    </row>
    <row r="4" spans="1:21" ht="16.2" customHeight="1" x14ac:dyDescent="0.3">
      <c r="A4" s="3" t="s">
        <v>8</v>
      </c>
      <c r="B4" s="4">
        <f xml:space="preserve"> masas!B13 + masas!B11</f>
        <v>224.05000000000004</v>
      </c>
      <c r="C4" s="4">
        <f xml:space="preserve"> masas!B13 + masas!B10</f>
        <v>214.05000000000004</v>
      </c>
      <c r="D4" s="4">
        <v>16.23</v>
      </c>
      <c r="E4" s="4">
        <v>8.02</v>
      </c>
      <c r="F4" s="4">
        <v>7.74</v>
      </c>
      <c r="G4" s="4">
        <v>20.149999999999999</v>
      </c>
      <c r="H4" s="4">
        <v>9.92</v>
      </c>
      <c r="I4" s="4">
        <v>9.0399999999999991</v>
      </c>
      <c r="J4" s="4">
        <v>30.25</v>
      </c>
      <c r="K4" s="4">
        <v>14.81</v>
      </c>
      <c r="L4" s="4">
        <v>14.06</v>
      </c>
      <c r="M4" s="22">
        <f>B4*D4</f>
        <v>3636.3315000000007</v>
      </c>
      <c r="N4" s="22">
        <f>B4*E4+F4*C4</f>
        <v>3453.6280000000006</v>
      </c>
      <c r="O4" s="22">
        <f>ABS(N4-M4)/M4*100</f>
        <v>5.0243906530523974</v>
      </c>
      <c r="P4" s="22">
        <f>B4*G4</f>
        <v>4514.6075000000001</v>
      </c>
      <c r="Q4" s="22">
        <f>B4*H4+C4*I4</f>
        <v>4157.5880000000006</v>
      </c>
      <c r="R4" s="22">
        <f>ABS(Q4-P4)/P4*100</f>
        <v>7.9080961080226668</v>
      </c>
      <c r="S4" s="22">
        <f>B4*J4</f>
        <v>6777.5125000000016</v>
      </c>
      <c r="T4" s="22">
        <f>B4*K4+C4*L4</f>
        <v>6327.7235000000019</v>
      </c>
      <c r="U4" s="22">
        <f>ABS(T4-S4)/S4*100</f>
        <v>6.6364908954428286</v>
      </c>
    </row>
    <row r="5" spans="1:21" ht="16.2" customHeight="1" x14ac:dyDescent="0.3">
      <c r="A5" s="3" t="s">
        <v>9</v>
      </c>
      <c r="B5" s="4">
        <f xml:space="preserve"> masas!B13 + masas!B12</f>
        <v>366.05000000000007</v>
      </c>
      <c r="C5" s="4">
        <f xml:space="preserve"> masas!B13 + masas!B10</f>
        <v>214.05000000000004</v>
      </c>
      <c r="D5" s="4">
        <v>22.36</v>
      </c>
      <c r="E5" s="4">
        <v>13.41</v>
      </c>
      <c r="F5" s="4">
        <v>12.54</v>
      </c>
      <c r="G5" s="4">
        <v>30.87</v>
      </c>
      <c r="H5" s="4">
        <v>17.829999999999998</v>
      </c>
      <c r="I5" s="4">
        <v>16.87</v>
      </c>
      <c r="J5" s="4">
        <v>22.13</v>
      </c>
      <c r="K5" s="4">
        <v>12.27</v>
      </c>
      <c r="L5" s="5">
        <v>10.6</v>
      </c>
      <c r="M5" s="22">
        <f t="shared" ref="M5:M8" si="0">B5*D5</f>
        <v>8184.8780000000015</v>
      </c>
      <c r="N5" s="22">
        <f t="shared" ref="N5:N8" si="1">B5*E5+C5*F5</f>
        <v>7592.9175000000014</v>
      </c>
      <c r="O5" s="22">
        <f t="shared" ref="O5:O8" si="2">ABS(N5-M5)/M5*100</f>
        <v>7.2323680328527802</v>
      </c>
      <c r="P5" s="22">
        <f t="shared" ref="P5:P8" si="3">B5*G5</f>
        <v>11299.963500000002</v>
      </c>
      <c r="Q5" s="22">
        <f t="shared" ref="Q5:Q8" si="4">B5*H5+C5*I5</f>
        <v>10137.695000000002</v>
      </c>
      <c r="R5" s="22">
        <f t="shared" ref="R5:R8" si="5">ABS(Q5-P5)/P5*100</f>
        <v>10.285595170285285</v>
      </c>
      <c r="S5" s="22">
        <f t="shared" ref="S5:S8" si="6">B5*J5</f>
        <v>8100.6865000000007</v>
      </c>
      <c r="T5" s="22">
        <f t="shared" ref="T5:T8" si="7">B5*K5+C5*L5</f>
        <v>6760.3635000000013</v>
      </c>
      <c r="U5" s="22">
        <f t="shared" ref="U5:U8" si="8">ABS(T5-S5)/S5*100</f>
        <v>16.545795223651716</v>
      </c>
    </row>
    <row r="6" spans="1:21" ht="16.2" customHeight="1" x14ac:dyDescent="0.3">
      <c r="A6" s="3" t="s">
        <v>10</v>
      </c>
      <c r="B6" s="4">
        <f xml:space="preserve"> masas!B13 + masas!B10</f>
        <v>214.05000000000004</v>
      </c>
      <c r="C6" s="4">
        <f xml:space="preserve"> masas!B13 + masas!B11</f>
        <v>224.05000000000004</v>
      </c>
      <c r="D6" s="4">
        <v>26.48</v>
      </c>
      <c r="E6" s="4">
        <v>11.54</v>
      </c>
      <c r="F6" s="4">
        <v>10.050000000000001</v>
      </c>
      <c r="G6" s="4">
        <v>23.69</v>
      </c>
      <c r="H6" s="4">
        <v>10.220000000000001</v>
      </c>
      <c r="I6" s="4">
        <v>8.66</v>
      </c>
      <c r="J6" s="4">
        <v>22.74</v>
      </c>
      <c r="K6" s="4">
        <v>10.73</v>
      </c>
      <c r="L6" s="5">
        <v>9.5</v>
      </c>
      <c r="M6" s="22">
        <f t="shared" si="0"/>
        <v>5668.0440000000008</v>
      </c>
      <c r="N6" s="22">
        <f t="shared" si="1"/>
        <v>4721.839500000001</v>
      </c>
      <c r="O6" s="22">
        <f t="shared" si="2"/>
        <v>16.693668927058429</v>
      </c>
      <c r="P6" s="22">
        <f t="shared" si="3"/>
        <v>5070.8445000000011</v>
      </c>
      <c r="Q6" s="22">
        <f t="shared" si="4"/>
        <v>4127.8640000000005</v>
      </c>
      <c r="R6" s="22">
        <f t="shared" si="5"/>
        <v>18.596123387337165</v>
      </c>
      <c r="S6" s="22">
        <f t="shared" si="6"/>
        <v>4867.4970000000003</v>
      </c>
      <c r="T6" s="22">
        <f t="shared" si="7"/>
        <v>4425.2315000000008</v>
      </c>
      <c r="U6" s="22">
        <f t="shared" si="8"/>
        <v>9.0860970227613809</v>
      </c>
    </row>
    <row r="7" spans="1:21" ht="16.2" customHeight="1" x14ac:dyDescent="0.3">
      <c r="A7" s="3" t="s">
        <v>11</v>
      </c>
      <c r="B7" s="4">
        <f xml:space="preserve"> masas!B13 + masas!B10</f>
        <v>214.05000000000004</v>
      </c>
      <c r="C7" s="4">
        <f xml:space="preserve"> masas!B13 + masas!B12</f>
        <v>366.05000000000007</v>
      </c>
      <c r="D7" s="4">
        <v>23.11</v>
      </c>
      <c r="E7" s="5">
        <v>8.1999999999999993</v>
      </c>
      <c r="F7" s="4">
        <v>6.32</v>
      </c>
      <c r="G7" s="4">
        <v>11.27</v>
      </c>
      <c r="H7" s="4">
        <v>5.31</v>
      </c>
      <c r="I7" s="4">
        <v>3.86</v>
      </c>
      <c r="J7" s="4">
        <v>17.11</v>
      </c>
      <c r="K7" s="4">
        <v>6.03</v>
      </c>
      <c r="L7" s="4">
        <v>4.2300000000000004</v>
      </c>
      <c r="M7" s="22">
        <f t="shared" si="0"/>
        <v>4946.6955000000007</v>
      </c>
      <c r="N7" s="22">
        <f>B7*E7+C7*F7</f>
        <v>4068.6460000000006</v>
      </c>
      <c r="O7" s="22">
        <f t="shared" si="2"/>
        <v>17.750223356177873</v>
      </c>
      <c r="P7" s="22">
        <f t="shared" si="3"/>
        <v>2412.3435000000004</v>
      </c>
      <c r="Q7" s="22">
        <f t="shared" si="4"/>
        <v>2549.5585000000001</v>
      </c>
      <c r="R7" s="22">
        <f t="shared" si="5"/>
        <v>5.6880373794196259</v>
      </c>
      <c r="S7" s="22">
        <f t="shared" si="6"/>
        <v>3662.3955000000005</v>
      </c>
      <c r="T7" s="22">
        <f t="shared" si="7"/>
        <v>2839.1130000000007</v>
      </c>
      <c r="U7" s="22">
        <f t="shared" si="8"/>
        <v>22.479344461841976</v>
      </c>
    </row>
    <row r="8" spans="1:21" ht="16.2" customHeight="1" x14ac:dyDescent="0.3">
      <c r="A8" s="3" t="s">
        <v>12</v>
      </c>
      <c r="B8" s="4">
        <f xml:space="preserve"> masas!B13</f>
        <v>203.65000000000003</v>
      </c>
      <c r="C8" s="4">
        <f xml:space="preserve"> masas!B13</f>
        <v>203.65000000000003</v>
      </c>
      <c r="D8" s="4">
        <v>31.14</v>
      </c>
      <c r="E8" s="4">
        <v>14.47</v>
      </c>
      <c r="F8" s="4">
        <v>13.19</v>
      </c>
      <c r="G8" s="5">
        <v>25.8</v>
      </c>
      <c r="H8" s="4">
        <v>12.12</v>
      </c>
      <c r="I8" s="4">
        <v>10.71</v>
      </c>
      <c r="J8" s="4">
        <v>22.86</v>
      </c>
      <c r="K8" s="4">
        <v>11.64</v>
      </c>
      <c r="L8" s="4">
        <v>10.72</v>
      </c>
      <c r="M8" s="22">
        <f t="shared" si="0"/>
        <v>6341.661000000001</v>
      </c>
      <c r="N8" s="22">
        <f t="shared" si="1"/>
        <v>5632.9590000000007</v>
      </c>
      <c r="O8" s="22">
        <f t="shared" si="2"/>
        <v>11.175337186897883</v>
      </c>
      <c r="P8" s="22">
        <f t="shared" si="3"/>
        <v>5254.170000000001</v>
      </c>
      <c r="Q8" s="22">
        <f t="shared" si="4"/>
        <v>4649.3295000000007</v>
      </c>
      <c r="R8" s="22">
        <f t="shared" si="5"/>
        <v>11.511627906976747</v>
      </c>
      <c r="S8" s="22">
        <f t="shared" si="6"/>
        <v>4655.4390000000003</v>
      </c>
      <c r="T8" s="22">
        <f t="shared" si="7"/>
        <v>4553.6140000000014</v>
      </c>
      <c r="U8" s="22">
        <f t="shared" si="8"/>
        <v>2.1872265966753917</v>
      </c>
    </row>
    <row r="9" spans="1:21" ht="16.2" customHeight="1" x14ac:dyDescent="0.3">
      <c r="A9" s="17"/>
      <c r="B9" s="35" t="s">
        <v>13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20"/>
    </row>
    <row r="10" spans="1:21" ht="16.2" customHeight="1" x14ac:dyDescent="0.3">
      <c r="A10" s="16"/>
      <c r="B10" s="34"/>
      <c r="C10" s="34"/>
      <c r="D10" s="34" t="s">
        <v>16</v>
      </c>
      <c r="E10" s="34"/>
      <c r="F10" s="34"/>
      <c r="G10" s="34" t="s">
        <v>17</v>
      </c>
      <c r="H10" s="34"/>
      <c r="I10" s="34"/>
      <c r="J10" s="34" t="s">
        <v>18</v>
      </c>
      <c r="K10" s="34"/>
      <c r="L10" s="34"/>
      <c r="M10" s="36" t="s">
        <v>16</v>
      </c>
      <c r="N10" s="36"/>
      <c r="O10" s="36"/>
      <c r="P10" s="36" t="s">
        <v>17</v>
      </c>
      <c r="Q10" s="36"/>
      <c r="R10" s="36"/>
      <c r="S10" s="36" t="s">
        <v>18</v>
      </c>
      <c r="T10" s="36"/>
      <c r="U10" s="36"/>
    </row>
    <row r="11" spans="1:21" ht="16.2" customHeight="1" x14ac:dyDescent="0.3">
      <c r="A11" s="1"/>
      <c r="B11" s="2" t="s">
        <v>19</v>
      </c>
      <c r="C11" s="2" t="s">
        <v>20</v>
      </c>
      <c r="D11" s="1" t="s">
        <v>21</v>
      </c>
      <c r="E11" s="1" t="s">
        <v>22</v>
      </c>
      <c r="F11" s="1" t="s">
        <v>23</v>
      </c>
      <c r="G11" s="1" t="s">
        <v>21</v>
      </c>
      <c r="H11" s="1" t="s">
        <v>22</v>
      </c>
      <c r="I11" s="1" t="s">
        <v>23</v>
      </c>
      <c r="J11" s="1" t="s">
        <v>21</v>
      </c>
      <c r="K11" s="1" t="s">
        <v>22</v>
      </c>
      <c r="L11" s="1" t="s">
        <v>23</v>
      </c>
      <c r="M11" s="2" t="s">
        <v>24</v>
      </c>
      <c r="N11" s="2" t="s">
        <v>25</v>
      </c>
      <c r="O11" s="31" t="s">
        <v>37</v>
      </c>
      <c r="P11" s="2" t="s">
        <v>24</v>
      </c>
      <c r="Q11" s="2" t="s">
        <v>25</v>
      </c>
      <c r="R11" s="31" t="s">
        <v>37</v>
      </c>
      <c r="S11" s="2" t="s">
        <v>24</v>
      </c>
      <c r="T11" s="2" t="s">
        <v>25</v>
      </c>
      <c r="U11" s="31" t="s">
        <v>37</v>
      </c>
    </row>
    <row r="12" spans="1:21" ht="16.2" customHeight="1" x14ac:dyDescent="0.3">
      <c r="A12" s="3" t="s">
        <v>8</v>
      </c>
      <c r="B12" s="4">
        <f xml:space="preserve"> masas!B13 + masas!B11</f>
        <v>224.05000000000004</v>
      </c>
      <c r="C12" s="4">
        <f xml:space="preserve"> masas!B13 + masas!B10</f>
        <v>214.05000000000004</v>
      </c>
      <c r="D12" s="4">
        <v>30.51</v>
      </c>
      <c r="E12" s="4">
        <v>6.22</v>
      </c>
      <c r="F12" s="4">
        <v>29.18</v>
      </c>
      <c r="G12" s="4">
        <v>38.46</v>
      </c>
      <c r="H12" s="4">
        <v>11.45</v>
      </c>
      <c r="I12" s="4">
        <v>28.02</v>
      </c>
      <c r="J12" s="4">
        <v>27.44</v>
      </c>
      <c r="K12" s="4">
        <v>6.71</v>
      </c>
      <c r="L12" s="4">
        <v>26.38</v>
      </c>
      <c r="M12" s="22">
        <f>B12*D12</f>
        <v>6835.7655000000013</v>
      </c>
      <c r="N12" s="22">
        <f>B12*E12+C12*F12</f>
        <v>7639.5700000000015</v>
      </c>
      <c r="O12" s="22">
        <f>ABS(N12-M12)/M12*100</f>
        <v>11.758807407890162</v>
      </c>
      <c r="P12" s="22">
        <f>B12*G12</f>
        <v>8616.9630000000016</v>
      </c>
      <c r="Q12" s="22">
        <f>B12*H12+C12*I12</f>
        <v>8563.0535000000018</v>
      </c>
      <c r="R12" s="22">
        <f>ABS(Q12-P12)/P12*100</f>
        <v>0.62562065080237372</v>
      </c>
      <c r="S12" s="22">
        <f>B12*J12</f>
        <v>6147.9320000000016</v>
      </c>
      <c r="T12" s="22">
        <f>B12*K12+C12*L12</f>
        <v>7150.0145000000011</v>
      </c>
      <c r="U12" s="22">
        <f>ABS(T12-S12)/S12*100</f>
        <v>16.299505264534471</v>
      </c>
    </row>
    <row r="13" spans="1:21" ht="16.2" customHeight="1" x14ac:dyDescent="0.3">
      <c r="A13" s="3" t="s">
        <v>9</v>
      </c>
      <c r="B13" s="4">
        <f xml:space="preserve"> masas!B13 + masas!B12</f>
        <v>366.05000000000007</v>
      </c>
      <c r="C13" s="4">
        <f xml:space="preserve"> masas!B13 + masas!B10</f>
        <v>214.05000000000004</v>
      </c>
      <c r="D13" s="4">
        <v>41.44</v>
      </c>
      <c r="E13" s="4">
        <v>12.49</v>
      </c>
      <c r="F13" s="4">
        <v>48.07</v>
      </c>
      <c r="G13" s="4">
        <v>35.69</v>
      </c>
      <c r="H13" s="4">
        <v>12.76</v>
      </c>
      <c r="I13" s="4">
        <v>41.65</v>
      </c>
      <c r="J13" s="4">
        <v>69.02</v>
      </c>
      <c r="K13" s="4">
        <v>19.760000000000002</v>
      </c>
      <c r="L13" s="4">
        <v>80.16</v>
      </c>
      <c r="M13" s="22">
        <f t="shared" ref="M13:M16" si="9">B13*D13</f>
        <v>15169.112000000003</v>
      </c>
      <c r="N13" s="22">
        <f t="shared" ref="N13:N16" si="10">B13*E13+C13*F13</f>
        <v>14861.348000000002</v>
      </c>
      <c r="O13" s="22">
        <f t="shared" ref="O13:O16" si="11">ABS(N13-M13)/M13*100</f>
        <v>2.0288860679517757</v>
      </c>
      <c r="P13" s="22">
        <f t="shared" ref="P13:P16" si="12">B13*G13</f>
        <v>13064.324500000002</v>
      </c>
      <c r="Q13" s="22">
        <f t="shared" ref="Q13:Q16" si="13">B13*H13+C13*I13</f>
        <v>13585.980500000001</v>
      </c>
      <c r="R13" s="22">
        <f t="shared" ref="R13:R16" si="14">ABS(Q13-P13)/P13*100</f>
        <v>3.9929810377872883</v>
      </c>
      <c r="S13" s="22">
        <f t="shared" ref="S13:S16" si="15">B13*J13</f>
        <v>25264.771000000004</v>
      </c>
      <c r="T13" s="22">
        <f t="shared" ref="T13:T16" si="16">B13*K13+C13*L13</f>
        <v>24391.396000000004</v>
      </c>
      <c r="U13" s="22">
        <f t="shared" ref="U13:U16" si="17">ABS(T13-S13)/S13*100</f>
        <v>3.456888645458136</v>
      </c>
    </row>
    <row r="14" spans="1:21" ht="16.2" customHeight="1" x14ac:dyDescent="0.3">
      <c r="A14" s="3" t="s">
        <v>10</v>
      </c>
      <c r="B14" s="4">
        <f xml:space="preserve"> masas!B13 + masas!B10</f>
        <v>214.05000000000004</v>
      </c>
      <c r="C14" s="4">
        <f xml:space="preserve"> masas!B13 + masas!B11</f>
        <v>224.05000000000004</v>
      </c>
      <c r="D14" s="4">
        <v>44.72</v>
      </c>
      <c r="E14" s="4">
        <v>0</v>
      </c>
      <c r="F14" s="4">
        <v>41.23</v>
      </c>
      <c r="G14" s="4">
        <v>48.39</v>
      </c>
      <c r="H14" s="4">
        <v>0</v>
      </c>
      <c r="I14" s="4">
        <v>44.51</v>
      </c>
      <c r="J14" s="4">
        <v>107.28</v>
      </c>
      <c r="K14" s="4">
        <v>0</v>
      </c>
      <c r="L14" s="4">
        <v>94.87</v>
      </c>
      <c r="M14" s="22">
        <f t="shared" si="9"/>
        <v>9572.3160000000007</v>
      </c>
      <c r="N14" s="22">
        <f t="shared" si="10"/>
        <v>9237.5815000000002</v>
      </c>
      <c r="O14" s="22">
        <f t="shared" si="11"/>
        <v>3.4969018991851133</v>
      </c>
      <c r="P14" s="22">
        <f t="shared" si="12"/>
        <v>10357.879500000003</v>
      </c>
      <c r="Q14" s="22">
        <f t="shared" si="13"/>
        <v>9972.4655000000021</v>
      </c>
      <c r="R14" s="22">
        <f t="shared" si="14"/>
        <v>3.7209739696238073</v>
      </c>
      <c r="S14" s="22">
        <f t="shared" si="15"/>
        <v>22963.284000000003</v>
      </c>
      <c r="T14" s="22">
        <f t="shared" si="16"/>
        <v>21255.623500000005</v>
      </c>
      <c r="U14" s="22">
        <f t="shared" si="17"/>
        <v>7.4364820815698565</v>
      </c>
    </row>
    <row r="15" spans="1:21" ht="16.2" customHeight="1" x14ac:dyDescent="0.3">
      <c r="A15" s="3" t="s">
        <v>11</v>
      </c>
      <c r="B15" s="4">
        <f xml:space="preserve"> masas!B13 + masas!B10</f>
        <v>214.05000000000004</v>
      </c>
      <c r="C15" s="4">
        <f xml:space="preserve"> masas!B13 + masas!B12</f>
        <v>366.05000000000007</v>
      </c>
      <c r="D15" s="4">
        <v>52.88</v>
      </c>
      <c r="E15" s="4">
        <v>-8.98</v>
      </c>
      <c r="F15" s="4">
        <v>37.340000000000003</v>
      </c>
      <c r="G15" s="4">
        <v>72.739999999999995</v>
      </c>
      <c r="H15" s="4">
        <v>-11.81</v>
      </c>
      <c r="I15" s="4">
        <v>50.72</v>
      </c>
      <c r="J15" s="4">
        <v>70.66</v>
      </c>
      <c r="K15" s="4">
        <v>-12.13</v>
      </c>
      <c r="L15" s="4">
        <v>49.2</v>
      </c>
      <c r="M15" s="22">
        <f t="shared" si="9"/>
        <v>11318.964000000002</v>
      </c>
      <c r="N15" s="22">
        <f t="shared" si="10"/>
        <v>11746.138000000004</v>
      </c>
      <c r="O15" s="22">
        <f t="shared" si="11"/>
        <v>3.7739672994807885</v>
      </c>
      <c r="P15" s="22">
        <f t="shared" si="12"/>
        <v>15569.997000000001</v>
      </c>
      <c r="Q15" s="22">
        <f t="shared" si="13"/>
        <v>16038.125500000004</v>
      </c>
      <c r="R15" s="22">
        <f t="shared" si="14"/>
        <v>3.0066062312022446</v>
      </c>
      <c r="S15" s="22">
        <f t="shared" si="15"/>
        <v>15124.773000000003</v>
      </c>
      <c r="T15" s="22">
        <f t="shared" si="16"/>
        <v>15413.233500000002</v>
      </c>
      <c r="U15" s="22">
        <f t="shared" si="17"/>
        <v>1.9072054833484058</v>
      </c>
    </row>
    <row r="16" spans="1:21" ht="16.2" customHeight="1" x14ac:dyDescent="0.3">
      <c r="A16" s="6" t="s">
        <v>12</v>
      </c>
      <c r="B16" s="7">
        <f xml:space="preserve"> masas!B13</f>
        <v>203.65000000000003</v>
      </c>
      <c r="C16" s="7">
        <f xml:space="preserve"> masas!B13</f>
        <v>203.65000000000003</v>
      </c>
      <c r="D16" s="7">
        <v>12.34</v>
      </c>
      <c r="E16" s="7">
        <v>0</v>
      </c>
      <c r="F16" s="7">
        <v>11.23</v>
      </c>
      <c r="G16" s="7">
        <v>11.21</v>
      </c>
      <c r="H16" s="7">
        <v>0</v>
      </c>
      <c r="I16" s="7">
        <v>9.74</v>
      </c>
      <c r="J16" s="7">
        <v>11.91</v>
      </c>
      <c r="K16" s="7">
        <v>0</v>
      </c>
      <c r="L16" s="7">
        <v>10.54</v>
      </c>
      <c r="M16" s="23">
        <f t="shared" si="9"/>
        <v>2513.0410000000002</v>
      </c>
      <c r="N16" s="23">
        <f t="shared" si="10"/>
        <v>2286.9895000000006</v>
      </c>
      <c r="O16" s="23">
        <f t="shared" si="11"/>
        <v>8.9951377633711331</v>
      </c>
      <c r="P16" s="23">
        <f t="shared" si="12"/>
        <v>2282.9165000000007</v>
      </c>
      <c r="Q16" s="23">
        <f t="shared" si="13"/>
        <v>1983.5510000000004</v>
      </c>
      <c r="R16" s="23">
        <f t="shared" si="14"/>
        <v>13.113291703835872</v>
      </c>
      <c r="S16" s="23">
        <f t="shared" si="15"/>
        <v>2425.4715000000006</v>
      </c>
      <c r="T16" s="23">
        <f t="shared" si="16"/>
        <v>2146.471</v>
      </c>
      <c r="U16" s="23">
        <f t="shared" si="17"/>
        <v>11.502938706968955</v>
      </c>
    </row>
  </sheetData>
  <mergeCells count="16">
    <mergeCell ref="B1:T1"/>
    <mergeCell ref="B9:T9"/>
    <mergeCell ref="M2:O2"/>
    <mergeCell ref="P2:R2"/>
    <mergeCell ref="S2:U2"/>
    <mergeCell ref="G10:I10"/>
    <mergeCell ref="D10:F10"/>
    <mergeCell ref="D2:F2"/>
    <mergeCell ref="G2:I2"/>
    <mergeCell ref="B2:C2"/>
    <mergeCell ref="B10:C10"/>
    <mergeCell ref="M10:O10"/>
    <mergeCell ref="P10:R10"/>
    <mergeCell ref="S10:U10"/>
    <mergeCell ref="J2:L2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D146-6E43-4C81-A1B9-B287BABFB134}">
  <dimension ref="A1:X16"/>
  <sheetViews>
    <sheetView workbookViewId="0"/>
  </sheetViews>
  <sheetFormatPr baseColWidth="10" defaultRowHeight="14.4" x14ac:dyDescent="0.3"/>
  <cols>
    <col min="15" max="15" width="13" customWidth="1"/>
  </cols>
  <sheetData>
    <row r="1" spans="1:24" x14ac:dyDescent="0.3">
      <c r="A1" s="18"/>
      <c r="B1" s="37" t="s">
        <v>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25"/>
      <c r="X1" s="19"/>
    </row>
    <row r="2" spans="1:24" x14ac:dyDescent="0.3">
      <c r="A2" s="16"/>
      <c r="B2" s="35"/>
      <c r="C2" s="35"/>
      <c r="D2" s="35" t="s">
        <v>16</v>
      </c>
      <c r="E2" s="35"/>
      <c r="F2" s="35"/>
      <c r="G2" s="35" t="s">
        <v>17</v>
      </c>
      <c r="H2" s="35"/>
      <c r="I2" s="35"/>
      <c r="J2" s="35" t="s">
        <v>18</v>
      </c>
      <c r="K2" s="35"/>
      <c r="L2" s="35"/>
      <c r="M2" s="36" t="s">
        <v>16</v>
      </c>
      <c r="N2" s="36"/>
      <c r="O2" s="36"/>
      <c r="P2" s="36"/>
      <c r="Q2" s="36" t="s">
        <v>17</v>
      </c>
      <c r="R2" s="36"/>
      <c r="S2" s="36"/>
      <c r="T2" s="36"/>
      <c r="U2" s="36" t="s">
        <v>18</v>
      </c>
      <c r="V2" s="36"/>
      <c r="W2" s="36"/>
      <c r="X2" s="36"/>
    </row>
    <row r="3" spans="1:24" x14ac:dyDescent="0.3">
      <c r="A3" s="1" t="s">
        <v>6</v>
      </c>
      <c r="B3" s="25" t="s">
        <v>19</v>
      </c>
      <c r="C3" s="25" t="s">
        <v>20</v>
      </c>
      <c r="D3" s="1" t="s">
        <v>21</v>
      </c>
      <c r="E3" s="1" t="s">
        <v>22</v>
      </c>
      <c r="F3" s="1" t="s">
        <v>23</v>
      </c>
      <c r="G3" s="1" t="s">
        <v>21</v>
      </c>
      <c r="H3" s="1" t="s">
        <v>22</v>
      </c>
      <c r="I3" s="1" t="s">
        <v>23</v>
      </c>
      <c r="J3" s="1" t="s">
        <v>21</v>
      </c>
      <c r="K3" s="1" t="s">
        <v>22</v>
      </c>
      <c r="L3" s="1" t="s">
        <v>23</v>
      </c>
      <c r="M3" s="25" t="s">
        <v>30</v>
      </c>
      <c r="N3" s="25" t="s">
        <v>31</v>
      </c>
      <c r="O3" s="25" t="s">
        <v>33</v>
      </c>
      <c r="P3" s="25" t="s">
        <v>36</v>
      </c>
      <c r="Q3" s="25" t="s">
        <v>30</v>
      </c>
      <c r="R3" s="25" t="s">
        <v>31</v>
      </c>
      <c r="S3" s="25" t="s">
        <v>33</v>
      </c>
      <c r="T3" s="25" t="s">
        <v>36</v>
      </c>
      <c r="U3" s="25" t="s">
        <v>30</v>
      </c>
      <c r="V3" s="25" t="s">
        <v>31</v>
      </c>
      <c r="W3" s="25" t="s">
        <v>33</v>
      </c>
      <c r="X3" s="25" t="s">
        <v>36</v>
      </c>
    </row>
    <row r="4" spans="1:24" x14ac:dyDescent="0.3">
      <c r="A4" s="3" t="s">
        <v>8</v>
      </c>
      <c r="B4" s="4">
        <f xml:space="preserve"> masas!B13 + masas!B11</f>
        <v>224.05000000000004</v>
      </c>
      <c r="C4" s="4">
        <f xml:space="preserve"> masas!B13 + masas!B10</f>
        <v>214.05000000000004</v>
      </c>
      <c r="D4" s="4">
        <v>16.23</v>
      </c>
      <c r="E4" s="4">
        <v>8.02</v>
      </c>
      <c r="F4" s="4">
        <v>7.74</v>
      </c>
      <c r="G4" s="4">
        <v>20.149999999999999</v>
      </c>
      <c r="H4" s="4">
        <v>9.92</v>
      </c>
      <c r="I4" s="4">
        <v>9.0399999999999991</v>
      </c>
      <c r="J4" s="4">
        <v>30.25</v>
      </c>
      <c r="K4" s="4">
        <v>14.81</v>
      </c>
      <c r="L4" s="4">
        <v>14.06</v>
      </c>
      <c r="M4" s="21">
        <f>1/2*B4*D4^2</f>
        <v>29508.83012250001</v>
      </c>
      <c r="N4" s="21">
        <f>1/2*(B4*E4^2+C4*F4^2)</f>
        <v>13617.103700000003</v>
      </c>
      <c r="O4" s="26">
        <f>M4-N4</f>
        <v>15891.726422500007</v>
      </c>
      <c r="P4" s="22">
        <f>ABS(N4-M4)/M4*100</f>
        <v>53.854139105239618</v>
      </c>
      <c r="Q4" s="21">
        <f>1/2*B4*G4^2</f>
        <v>45484.670562499996</v>
      </c>
      <c r="R4" s="21">
        <f>1/2*(B4*H4^2+C4*I4^2)</f>
        <v>19770.231200000002</v>
      </c>
      <c r="S4" s="26">
        <f>Q4-R4</f>
        <v>25714.439362499994</v>
      </c>
      <c r="T4" s="22">
        <f>ABS(R4-Q4)/Q4*100</f>
        <v>56.534298356994938</v>
      </c>
      <c r="U4" s="21">
        <f>1/2*B4*J4^2</f>
        <v>102509.87656250002</v>
      </c>
      <c r="V4" s="21">
        <f>1/2*(B4*K4^2+C4*L4^2)</f>
        <v>45728.213892500018</v>
      </c>
      <c r="W4" s="26">
        <f>U4-V4</f>
        <v>56781.662670000005</v>
      </c>
      <c r="X4" s="22">
        <f>ABS(V4-U4)/U4*100</f>
        <v>55.391406734726054</v>
      </c>
    </row>
    <row r="5" spans="1:24" x14ac:dyDescent="0.3">
      <c r="A5" s="3" t="s">
        <v>9</v>
      </c>
      <c r="B5" s="4">
        <f xml:space="preserve"> masas!B13 + masas!B12</f>
        <v>366.05000000000007</v>
      </c>
      <c r="C5" s="4">
        <f xml:space="preserve"> masas!B13 + masas!B10</f>
        <v>214.05000000000004</v>
      </c>
      <c r="D5" s="4">
        <v>22.36</v>
      </c>
      <c r="E5" s="4">
        <v>13.41</v>
      </c>
      <c r="F5" s="4">
        <v>12.54</v>
      </c>
      <c r="G5" s="4">
        <v>30.87</v>
      </c>
      <c r="H5" s="4">
        <v>17.829999999999998</v>
      </c>
      <c r="I5" s="4">
        <v>16.87</v>
      </c>
      <c r="J5" s="4">
        <v>22.13</v>
      </c>
      <c r="K5" s="4">
        <v>12.27</v>
      </c>
      <c r="L5" s="5">
        <v>10.6</v>
      </c>
      <c r="M5" s="21">
        <f t="shared" ref="M5:M8" si="0">1/2*B5*D5^2</f>
        <v>91506.936040000015</v>
      </c>
      <c r="N5" s="21">
        <f t="shared" ref="N5:N8" si="1">1/2*(B5*E5^2+C5*F5^2)</f>
        <v>49742.89049250001</v>
      </c>
      <c r="O5" s="26">
        <f t="shared" ref="O5:O7" si="2">M5-N5</f>
        <v>41764.045547500005</v>
      </c>
      <c r="P5" s="22">
        <f t="shared" ref="P5:P8" si="3">ABS(N5-M5)/M5*100</f>
        <v>45.640305920901859</v>
      </c>
      <c r="Q5" s="21">
        <f t="shared" ref="Q5:Q8" si="4">1/2*B5*G5^2</f>
        <v>174414.93662250004</v>
      </c>
      <c r="R5" s="21">
        <f t="shared" ref="R5:R8" si="5">1/2*(B5*H5^2+C5*I5^2)</f>
        <v>88644.259645000013</v>
      </c>
      <c r="S5" s="26">
        <f t="shared" ref="S5:S7" si="6">Q5-R5</f>
        <v>85770.676977500028</v>
      </c>
      <c r="T5" s="22">
        <f t="shared" ref="T5:T8" si="7">ABS(R5-Q5)/Q5*100</f>
        <v>49.176222311246335</v>
      </c>
      <c r="U5" s="21">
        <f t="shared" ref="U5:U8" si="8">1/2*B5*J5^2</f>
        <v>89634.096122500006</v>
      </c>
      <c r="V5" s="21">
        <f t="shared" ref="V5:V8" si="9">1/2*(B5*K5^2+C5*L5^2)</f>
        <v>39580.273522500007</v>
      </c>
      <c r="W5" s="26">
        <f t="shared" ref="W5:W7" si="10">U5-V5</f>
        <v>50053.8226</v>
      </c>
      <c r="X5" s="22">
        <f t="shared" ref="X5:X8" si="11">ABS(V5-U5)/U5*100</f>
        <v>55.842391194075368</v>
      </c>
    </row>
    <row r="6" spans="1:24" x14ac:dyDescent="0.3">
      <c r="A6" s="3" t="s">
        <v>10</v>
      </c>
      <c r="B6" s="4">
        <f xml:space="preserve"> masas!B13 + masas!B10</f>
        <v>214.05000000000004</v>
      </c>
      <c r="C6" s="4">
        <f xml:space="preserve"> masas!B13 + masas!B11</f>
        <v>224.05000000000004</v>
      </c>
      <c r="D6" s="4">
        <v>26.48</v>
      </c>
      <c r="E6" s="4">
        <v>11.54</v>
      </c>
      <c r="F6" s="4">
        <v>10.050000000000001</v>
      </c>
      <c r="G6" s="4">
        <v>23.69</v>
      </c>
      <c r="H6" s="4">
        <v>10.220000000000001</v>
      </c>
      <c r="I6" s="4">
        <v>8.66</v>
      </c>
      <c r="J6" s="4">
        <v>22.74</v>
      </c>
      <c r="K6" s="4">
        <v>10.73</v>
      </c>
      <c r="L6" s="5">
        <v>9.5</v>
      </c>
      <c r="M6" s="21">
        <f t="shared" si="0"/>
        <v>75044.902560000017</v>
      </c>
      <c r="N6" s="21">
        <f t="shared" si="1"/>
        <v>25567.495552500004</v>
      </c>
      <c r="O6" s="26">
        <f t="shared" si="2"/>
        <v>49477.407007500013</v>
      </c>
      <c r="P6" s="22">
        <f t="shared" si="3"/>
        <v>65.930403424725299</v>
      </c>
      <c r="Q6" s="21">
        <f t="shared" si="4"/>
        <v>60064.153102500022</v>
      </c>
      <c r="R6" s="21">
        <f t="shared" si="5"/>
        <v>19579.972100000006</v>
      </c>
      <c r="S6" s="26">
        <f t="shared" si="6"/>
        <v>40484.181002500016</v>
      </c>
      <c r="T6" s="22">
        <f t="shared" si="7"/>
        <v>67.401568009147468</v>
      </c>
      <c r="U6" s="21">
        <f t="shared" si="8"/>
        <v>55343.440890000005</v>
      </c>
      <c r="V6" s="21">
        <f t="shared" si="9"/>
        <v>22432.354872500007</v>
      </c>
      <c r="W6" s="26">
        <f t="shared" si="10"/>
        <v>32911.086017499998</v>
      </c>
      <c r="X6" s="22">
        <f t="shared" si="11"/>
        <v>59.467003656158099</v>
      </c>
    </row>
    <row r="7" spans="1:24" x14ac:dyDescent="0.3">
      <c r="A7" s="3" t="s">
        <v>11</v>
      </c>
      <c r="B7" s="4">
        <f xml:space="preserve"> masas!B13 + masas!B10</f>
        <v>214.05000000000004</v>
      </c>
      <c r="C7" s="4">
        <f xml:space="preserve"> masas!B13 + masas!B12</f>
        <v>366.05000000000007</v>
      </c>
      <c r="D7" s="4">
        <v>23.11</v>
      </c>
      <c r="E7" s="5">
        <v>8.1999999999999993</v>
      </c>
      <c r="F7" s="4">
        <v>6.32</v>
      </c>
      <c r="G7" s="4">
        <v>11.27</v>
      </c>
      <c r="H7" s="4">
        <v>5.31</v>
      </c>
      <c r="I7" s="4">
        <v>3.86</v>
      </c>
      <c r="J7" s="4">
        <v>17.11</v>
      </c>
      <c r="K7" s="4">
        <v>6.03</v>
      </c>
      <c r="L7" s="4">
        <v>4.2300000000000004</v>
      </c>
      <c r="M7" s="21">
        <f>1/2*B7*D7^2</f>
        <v>57159.066502500005</v>
      </c>
      <c r="N7" s="21">
        <f t="shared" si="1"/>
        <v>14506.818760000004</v>
      </c>
      <c r="O7" s="26">
        <f t="shared" si="2"/>
        <v>42652.247742500003</v>
      </c>
      <c r="P7" s="22">
        <f t="shared" si="3"/>
        <v>74.620266481494227</v>
      </c>
      <c r="Q7" s="21">
        <f t="shared" si="4"/>
        <v>13593.555622500002</v>
      </c>
      <c r="R7" s="21">
        <f t="shared" si="5"/>
        <v>5744.6868924999999</v>
      </c>
      <c r="S7" s="26">
        <f t="shared" si="6"/>
        <v>7848.868730000002</v>
      </c>
      <c r="T7" s="22">
        <f t="shared" si="7"/>
        <v>57.739630071536126</v>
      </c>
      <c r="U7" s="21">
        <f t="shared" si="8"/>
        <v>31331.793502500004</v>
      </c>
      <c r="V7" s="21">
        <f t="shared" si="9"/>
        <v>7166.3733450000018</v>
      </c>
      <c r="W7" s="26">
        <f t="shared" si="10"/>
        <v>24165.420157500004</v>
      </c>
      <c r="X7" s="22">
        <f t="shared" si="11"/>
        <v>77.127471670499219</v>
      </c>
    </row>
    <row r="8" spans="1:24" x14ac:dyDescent="0.3">
      <c r="A8" s="3" t="s">
        <v>12</v>
      </c>
      <c r="B8" s="4">
        <f xml:space="preserve"> masas!B13</f>
        <v>203.65000000000003</v>
      </c>
      <c r="C8" s="4">
        <f xml:space="preserve"> masas!B13</f>
        <v>203.65000000000003</v>
      </c>
      <c r="D8" s="4">
        <v>31.14</v>
      </c>
      <c r="E8" s="4">
        <v>14.47</v>
      </c>
      <c r="F8" s="4">
        <v>13.19</v>
      </c>
      <c r="G8" s="5">
        <v>25.8</v>
      </c>
      <c r="H8" s="4">
        <v>12.12</v>
      </c>
      <c r="I8" s="4">
        <v>10.71</v>
      </c>
      <c r="J8" s="4">
        <v>22.86</v>
      </c>
      <c r="K8" s="4">
        <v>11.64</v>
      </c>
      <c r="L8" s="4">
        <v>10.72</v>
      </c>
      <c r="M8" s="21">
        <f t="shared" si="0"/>
        <v>98739.661770000021</v>
      </c>
      <c r="N8" s="21">
        <f t="shared" si="1"/>
        <v>39035.326525000011</v>
      </c>
      <c r="O8" s="26">
        <f>M8-N8</f>
        <v>59704.335245000009</v>
      </c>
      <c r="P8" s="22">
        <f t="shared" si="3"/>
        <v>60.466416609844941</v>
      </c>
      <c r="Q8" s="21">
        <f t="shared" si="4"/>
        <v>67778.793000000005</v>
      </c>
      <c r="R8" s="21">
        <f t="shared" si="5"/>
        <v>26637.267262500005</v>
      </c>
      <c r="S8" s="26">
        <f>Q8-R8</f>
        <v>41141.5257375</v>
      </c>
      <c r="T8" s="22">
        <f t="shared" si="7"/>
        <v>60.699702541914547</v>
      </c>
      <c r="U8" s="21">
        <f t="shared" si="8"/>
        <v>53211.667770000015</v>
      </c>
      <c r="V8" s="21">
        <f t="shared" si="9"/>
        <v>25497.794600000008</v>
      </c>
      <c r="W8" s="26">
        <f>U8-V8</f>
        <v>27713.873170000006</v>
      </c>
      <c r="X8" s="22">
        <f t="shared" si="11"/>
        <v>52.08232391773425</v>
      </c>
    </row>
    <row r="9" spans="1:24" x14ac:dyDescent="0.3">
      <c r="A9" s="17"/>
      <c r="B9" s="35" t="s">
        <v>13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24"/>
      <c r="X9" s="20"/>
    </row>
    <row r="10" spans="1:24" x14ac:dyDescent="0.3">
      <c r="A10" s="16"/>
      <c r="B10" s="34"/>
      <c r="C10" s="34"/>
      <c r="D10" s="34" t="s">
        <v>16</v>
      </c>
      <c r="E10" s="34"/>
      <c r="F10" s="34"/>
      <c r="G10" s="34" t="s">
        <v>17</v>
      </c>
      <c r="H10" s="34"/>
      <c r="I10" s="34"/>
      <c r="J10" s="34" t="s">
        <v>18</v>
      </c>
      <c r="K10" s="34"/>
      <c r="L10" s="34"/>
      <c r="M10" s="36" t="s">
        <v>16</v>
      </c>
      <c r="N10" s="36"/>
      <c r="O10" s="36"/>
      <c r="P10" s="36"/>
      <c r="Q10" s="36" t="s">
        <v>17</v>
      </c>
      <c r="R10" s="36"/>
      <c r="S10" s="36"/>
      <c r="T10" s="36"/>
      <c r="U10" s="36" t="s">
        <v>18</v>
      </c>
      <c r="V10" s="36"/>
      <c r="W10" s="36"/>
      <c r="X10" s="36"/>
    </row>
    <row r="11" spans="1:24" x14ac:dyDescent="0.3">
      <c r="A11" s="1"/>
      <c r="B11" s="25" t="s">
        <v>19</v>
      </c>
      <c r="C11" s="25" t="s">
        <v>20</v>
      </c>
      <c r="D11" s="1" t="s">
        <v>21</v>
      </c>
      <c r="E11" s="1" t="s">
        <v>22</v>
      </c>
      <c r="F11" s="1" t="s">
        <v>23</v>
      </c>
      <c r="G11" s="1" t="s">
        <v>21</v>
      </c>
      <c r="H11" s="1" t="s">
        <v>22</v>
      </c>
      <c r="I11" s="1" t="s">
        <v>23</v>
      </c>
      <c r="J11" s="1" t="s">
        <v>21</v>
      </c>
      <c r="K11" s="1" t="s">
        <v>22</v>
      </c>
      <c r="L11" s="1" t="s">
        <v>23</v>
      </c>
      <c r="M11" s="25" t="s">
        <v>30</v>
      </c>
      <c r="N11" s="25" t="s">
        <v>31</v>
      </c>
      <c r="O11" s="25" t="s">
        <v>33</v>
      </c>
      <c r="P11" s="25" t="s">
        <v>36</v>
      </c>
      <c r="Q11" s="25" t="s">
        <v>30</v>
      </c>
      <c r="R11" s="25" t="s">
        <v>31</v>
      </c>
      <c r="S11" s="25" t="s">
        <v>33</v>
      </c>
      <c r="T11" s="25" t="s">
        <v>36</v>
      </c>
      <c r="U11" s="25" t="s">
        <v>30</v>
      </c>
      <c r="V11" s="25" t="s">
        <v>31</v>
      </c>
      <c r="W11" s="25" t="s">
        <v>33</v>
      </c>
      <c r="X11" s="25" t="s">
        <v>36</v>
      </c>
    </row>
    <row r="12" spans="1:24" x14ac:dyDescent="0.3">
      <c r="A12" s="3" t="s">
        <v>8</v>
      </c>
      <c r="B12" s="4">
        <f xml:space="preserve"> masas!B13 + masas!B11</f>
        <v>224.05000000000004</v>
      </c>
      <c r="C12" s="4">
        <f xml:space="preserve"> masas!B13 + masas!B10</f>
        <v>214.05000000000004</v>
      </c>
      <c r="D12" s="4">
        <v>30.51</v>
      </c>
      <c r="E12" s="4">
        <v>6.22</v>
      </c>
      <c r="F12" s="4">
        <v>29.18</v>
      </c>
      <c r="G12" s="4">
        <v>38.46</v>
      </c>
      <c r="H12" s="4">
        <v>11.45</v>
      </c>
      <c r="I12" s="4">
        <v>28.02</v>
      </c>
      <c r="J12" s="4">
        <v>27.44</v>
      </c>
      <c r="K12" s="4">
        <v>6.71</v>
      </c>
      <c r="L12" s="4">
        <v>26.38</v>
      </c>
      <c r="M12" s="21">
        <f>1/2*B12*D12^2</f>
        <v>104279.60270250004</v>
      </c>
      <c r="N12" s="21">
        <f>1/2*(B12*E12^2+C12*F12^2)</f>
        <v>95462.901620000019</v>
      </c>
      <c r="O12" s="26">
        <f>M12-N12</f>
        <v>8816.7010825000179</v>
      </c>
      <c r="P12" s="22">
        <f>ABS(N12-M12)/M12*100</f>
        <v>8.4548663918995182</v>
      </c>
      <c r="Q12" s="21">
        <f>1/2*B12*G12^2</f>
        <v>165704.19849000004</v>
      </c>
      <c r="R12" s="21">
        <f>1/2*(B12*H12^2+C12*I12^2)</f>
        <v>98714.268372500024</v>
      </c>
      <c r="S12" s="26">
        <f>Q12-R12</f>
        <v>66989.930117500015</v>
      </c>
      <c r="T12" s="28">
        <f>ABS(R12-Q12)/Q12*100</f>
        <v>40.427418694247955</v>
      </c>
      <c r="U12" s="21">
        <f>1/2*B12*J12^2</f>
        <v>84349.627040000021</v>
      </c>
      <c r="V12" s="21">
        <f>1/2*(B12*K12^2+C12*L12^2)</f>
        <v>79522.993212500005</v>
      </c>
      <c r="W12" s="26">
        <f>U12-V12</f>
        <v>4826.6338275000162</v>
      </c>
      <c r="X12" s="22">
        <f>ABS(V12-U12)/U12*100</f>
        <v>5.722175659663729</v>
      </c>
    </row>
    <row r="13" spans="1:24" x14ac:dyDescent="0.3">
      <c r="A13" s="3" t="s">
        <v>9</v>
      </c>
      <c r="B13" s="4">
        <f xml:space="preserve"> masas!B13 + masas!B12</f>
        <v>366.05000000000007</v>
      </c>
      <c r="C13" s="4">
        <f xml:space="preserve"> masas!B13 + masas!B10</f>
        <v>214.05000000000004</v>
      </c>
      <c r="D13" s="4">
        <v>41.44</v>
      </c>
      <c r="E13" s="4">
        <v>12.49</v>
      </c>
      <c r="F13" s="4">
        <v>48.07</v>
      </c>
      <c r="G13" s="4">
        <v>35.69</v>
      </c>
      <c r="H13" s="4">
        <v>12.76</v>
      </c>
      <c r="I13" s="4">
        <v>41.65</v>
      </c>
      <c r="J13" s="4">
        <v>69.02</v>
      </c>
      <c r="K13" s="4">
        <v>19.760000000000002</v>
      </c>
      <c r="L13" s="4">
        <v>80.16</v>
      </c>
      <c r="M13" s="21">
        <f t="shared" ref="M13:M16" si="12">1/2*B13*D13^2</f>
        <v>314304.00064000004</v>
      </c>
      <c r="N13" s="21">
        <f t="shared" ref="N13:N16" si="13">1/2*(B13*E13^2+C13*F13^2)</f>
        <v>275857.25072500005</v>
      </c>
      <c r="O13" s="26">
        <f t="shared" ref="O13:O16" si="14">M13-N13</f>
        <v>38446.749914999993</v>
      </c>
      <c r="P13" s="22">
        <f t="shared" ref="P13:P16" si="15">ABS(N13-M13)/M13*100</f>
        <v>12.23234506615028</v>
      </c>
      <c r="Q13" s="21">
        <f t="shared" ref="Q13:Q16" si="16">1/2*B13*G13^2</f>
        <v>233132.87070250002</v>
      </c>
      <c r="R13" s="21">
        <f t="shared" ref="R13:R16" si="17">1/2*(B13*H13^2+C13*I13^2)</f>
        <v>215458.36680250004</v>
      </c>
      <c r="S13" s="26">
        <f t="shared" ref="S13:S16" si="18">Q13-R13</f>
        <v>17674.503899999982</v>
      </c>
      <c r="T13" s="22">
        <f t="shared" ref="T13:T16" si="19">ABS(R13-Q13)/Q13*100</f>
        <v>7.5813006749075509</v>
      </c>
      <c r="U13" s="21">
        <f t="shared" ref="U13:U16" si="20">1/2*B13*J13^2</f>
        <v>871887.24721000006</v>
      </c>
      <c r="V13" s="21">
        <f t="shared" ref="V13:V16" si="21">1/2*(B13*K13^2+C13*L13^2)</f>
        <v>759166.08208000008</v>
      </c>
      <c r="W13" s="26">
        <f t="shared" ref="W13:W16" si="22">U13-V13</f>
        <v>112721.16512999998</v>
      </c>
      <c r="X13" s="22">
        <f t="shared" ref="X13:X16" si="23">ABS(V13-U13)/U13*100</f>
        <v>12.928410811226179</v>
      </c>
    </row>
    <row r="14" spans="1:24" x14ac:dyDescent="0.3">
      <c r="A14" s="3" t="s">
        <v>10</v>
      </c>
      <c r="B14" s="4">
        <f xml:space="preserve"> masas!B13 + masas!B10</f>
        <v>214.05000000000004</v>
      </c>
      <c r="C14" s="4">
        <f xml:space="preserve"> masas!B13 + masas!B11</f>
        <v>224.05000000000004</v>
      </c>
      <c r="D14" s="4">
        <v>44.72</v>
      </c>
      <c r="E14" s="4">
        <v>0</v>
      </c>
      <c r="F14" s="4">
        <v>41.23</v>
      </c>
      <c r="G14" s="4">
        <v>48.39</v>
      </c>
      <c r="H14" s="4">
        <v>0</v>
      </c>
      <c r="I14" s="4">
        <v>44.51</v>
      </c>
      <c r="J14" s="4">
        <v>107.28</v>
      </c>
      <c r="K14" s="4">
        <v>0</v>
      </c>
      <c r="L14" s="4">
        <v>94.87</v>
      </c>
      <c r="M14" s="21">
        <f t="shared" si="12"/>
        <v>214036.98576000001</v>
      </c>
      <c r="N14" s="21">
        <f t="shared" si="13"/>
        <v>190432.74262250002</v>
      </c>
      <c r="O14" s="26">
        <f t="shared" si="14"/>
        <v>23604.243137499987</v>
      </c>
      <c r="P14" s="22">
        <f t="shared" si="15"/>
        <v>11.028114161525084</v>
      </c>
      <c r="Q14" s="21">
        <f t="shared" si="16"/>
        <v>250608.89450250004</v>
      </c>
      <c r="R14" s="21">
        <f t="shared" si="17"/>
        <v>221937.21970250004</v>
      </c>
      <c r="S14" s="26">
        <f t="shared" si="18"/>
        <v>28671.674800000008</v>
      </c>
      <c r="T14" s="22">
        <f t="shared" si="19"/>
        <v>11.440804947054255</v>
      </c>
      <c r="U14" s="21">
        <f t="shared" si="20"/>
        <v>1231750.5537600003</v>
      </c>
      <c r="V14" s="21">
        <f t="shared" si="21"/>
        <v>1008260.5007225004</v>
      </c>
      <c r="W14" s="26">
        <f t="shared" si="22"/>
        <v>223490.05303749989</v>
      </c>
      <c r="X14" s="22">
        <f t="shared" si="23"/>
        <v>18.144100065981842</v>
      </c>
    </row>
    <row r="15" spans="1:24" x14ac:dyDescent="0.3">
      <c r="A15" s="3" t="s">
        <v>11</v>
      </c>
      <c r="B15" s="4">
        <f xml:space="preserve"> masas!B13 + masas!B10</f>
        <v>214.05000000000004</v>
      </c>
      <c r="C15" s="4">
        <f xml:space="preserve"> masas!B13 + masas!B12</f>
        <v>366.05000000000007</v>
      </c>
      <c r="D15" s="4">
        <v>52.88</v>
      </c>
      <c r="E15" s="4">
        <v>-8.98</v>
      </c>
      <c r="F15" s="4">
        <v>37.340000000000003</v>
      </c>
      <c r="G15" s="4">
        <v>72.739999999999995</v>
      </c>
      <c r="H15" s="4">
        <v>-11.81</v>
      </c>
      <c r="I15" s="4">
        <v>50.72</v>
      </c>
      <c r="J15" s="4">
        <v>70.66</v>
      </c>
      <c r="K15" s="4">
        <v>-12.13</v>
      </c>
      <c r="L15" s="4">
        <v>49.2</v>
      </c>
      <c r="M15" s="21">
        <f t="shared" si="12"/>
        <v>299273.40816000011</v>
      </c>
      <c r="N15" s="21">
        <f t="shared" si="13"/>
        <v>263817.8305000001</v>
      </c>
      <c r="O15" s="26">
        <f t="shared" si="14"/>
        <v>35455.57766000001</v>
      </c>
      <c r="P15" s="22">
        <f t="shared" si="15"/>
        <v>11.847219530124256</v>
      </c>
      <c r="Q15" s="21">
        <f t="shared" si="16"/>
        <v>566280.79089000006</v>
      </c>
      <c r="R15" s="21">
        <f t="shared" si="17"/>
        <v>485762.60976250004</v>
      </c>
      <c r="S15" s="26">
        <f t="shared" si="18"/>
        <v>80518.181127500022</v>
      </c>
      <c r="T15" s="22">
        <f t="shared" si="19"/>
        <v>14.218773163919781</v>
      </c>
      <c r="U15" s="21">
        <f t="shared" si="20"/>
        <v>534358.23009000008</v>
      </c>
      <c r="V15" s="21">
        <f t="shared" si="21"/>
        <v>458784.96272250015</v>
      </c>
      <c r="W15" s="26">
        <f t="shared" si="22"/>
        <v>75573.267367499939</v>
      </c>
      <c r="X15" s="22">
        <f t="shared" si="23"/>
        <v>14.142809656879693</v>
      </c>
    </row>
    <row r="16" spans="1:24" x14ac:dyDescent="0.3">
      <c r="A16" s="6" t="s">
        <v>12</v>
      </c>
      <c r="B16" s="7">
        <f xml:space="preserve"> masas!B13</f>
        <v>203.65000000000003</v>
      </c>
      <c r="C16" s="7">
        <f xml:space="preserve"> masas!B13</f>
        <v>203.65000000000003</v>
      </c>
      <c r="D16" s="7">
        <v>12.34</v>
      </c>
      <c r="E16" s="7">
        <v>0</v>
      </c>
      <c r="F16" s="7">
        <v>11.23</v>
      </c>
      <c r="G16" s="7">
        <v>11.21</v>
      </c>
      <c r="H16" s="7">
        <v>0</v>
      </c>
      <c r="I16" s="7">
        <v>9.74</v>
      </c>
      <c r="J16" s="7">
        <v>11.91</v>
      </c>
      <c r="K16" s="7">
        <v>0</v>
      </c>
      <c r="L16" s="7">
        <v>10.54</v>
      </c>
      <c r="M16" s="20">
        <f t="shared" si="12"/>
        <v>15505.462970000002</v>
      </c>
      <c r="N16" s="20">
        <f t="shared" si="13"/>
        <v>12841.446042500003</v>
      </c>
      <c r="O16" s="27">
        <f t="shared" si="14"/>
        <v>2664.0169274999989</v>
      </c>
      <c r="P16" s="23">
        <f t="shared" si="15"/>
        <v>17.181150492922033</v>
      </c>
      <c r="Q16" s="20">
        <f t="shared" si="16"/>
        <v>12795.746982500004</v>
      </c>
      <c r="R16" s="20">
        <f t="shared" si="17"/>
        <v>9659.8933700000034</v>
      </c>
      <c r="S16" s="27">
        <f t="shared" si="18"/>
        <v>3135.853612500001</v>
      </c>
      <c r="T16" s="29">
        <f t="shared" si="19"/>
        <v>24.506999214572815</v>
      </c>
      <c r="U16" s="20">
        <f t="shared" si="20"/>
        <v>14443.682782500004</v>
      </c>
      <c r="V16" s="20">
        <f t="shared" si="21"/>
        <v>11311.902170000001</v>
      </c>
      <c r="W16" s="27">
        <f t="shared" si="22"/>
        <v>3131.7806125000025</v>
      </c>
      <c r="X16" s="23">
        <f t="shared" si="23"/>
        <v>21.682701424975036</v>
      </c>
    </row>
  </sheetData>
  <mergeCells count="16">
    <mergeCell ref="B1:V1"/>
    <mergeCell ref="B2:C2"/>
    <mergeCell ref="D2:F2"/>
    <mergeCell ref="G2:I2"/>
    <mergeCell ref="J2:L2"/>
    <mergeCell ref="M2:P2"/>
    <mergeCell ref="Q2:T2"/>
    <mergeCell ref="U2:X2"/>
    <mergeCell ref="B9:V9"/>
    <mergeCell ref="B10:C10"/>
    <mergeCell ref="D10:F10"/>
    <mergeCell ref="G10:I10"/>
    <mergeCell ref="J10:L10"/>
    <mergeCell ref="M10:P10"/>
    <mergeCell ref="Q10:T10"/>
    <mergeCell ref="U10:X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2E10-796B-459A-9776-CAE495D6530D}">
  <dimension ref="A1:O16"/>
  <sheetViews>
    <sheetView workbookViewId="0"/>
  </sheetViews>
  <sheetFormatPr baseColWidth="10" defaultRowHeight="14.4" x14ac:dyDescent="0.3"/>
  <cols>
    <col min="1" max="1" width="11.109375" customWidth="1"/>
    <col min="14" max="14" width="13" customWidth="1"/>
    <col min="15" max="15" width="21.21875" customWidth="1"/>
  </cols>
  <sheetData>
    <row r="1" spans="1:15" x14ac:dyDescent="0.3">
      <c r="A1" s="18"/>
      <c r="B1" s="37" t="s">
        <v>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x14ac:dyDescent="0.3">
      <c r="A2" s="16"/>
      <c r="B2" s="35" t="s">
        <v>16</v>
      </c>
      <c r="C2" s="35"/>
      <c r="D2" s="35"/>
      <c r="E2" s="35" t="s">
        <v>17</v>
      </c>
      <c r="F2" s="35"/>
      <c r="G2" s="35"/>
      <c r="H2" s="35" t="s">
        <v>18</v>
      </c>
      <c r="I2" s="35"/>
      <c r="J2" s="35"/>
      <c r="K2" s="30" t="s">
        <v>16</v>
      </c>
      <c r="L2" s="30" t="s">
        <v>17</v>
      </c>
      <c r="M2" s="30" t="s">
        <v>18</v>
      </c>
    </row>
    <row r="3" spans="1:15" x14ac:dyDescent="0.3">
      <c r="A3" s="1" t="s">
        <v>6</v>
      </c>
      <c r="B3" s="1" t="s">
        <v>21</v>
      </c>
      <c r="C3" s="1" t="s">
        <v>22</v>
      </c>
      <c r="D3" s="1" t="s">
        <v>23</v>
      </c>
      <c r="E3" s="1" t="s">
        <v>21</v>
      </c>
      <c r="F3" s="1" t="s">
        <v>22</v>
      </c>
      <c r="G3" s="1" t="s">
        <v>23</v>
      </c>
      <c r="H3" s="1" t="s">
        <v>21</v>
      </c>
      <c r="I3" s="1" t="s">
        <v>22</v>
      </c>
      <c r="J3" s="1" t="s">
        <v>23</v>
      </c>
      <c r="K3" s="25" t="s">
        <v>32</v>
      </c>
      <c r="L3" s="25" t="s">
        <v>32</v>
      </c>
      <c r="M3" s="25" t="s">
        <v>32</v>
      </c>
      <c r="N3" s="32" t="s">
        <v>41</v>
      </c>
      <c r="O3" s="32" t="s">
        <v>42</v>
      </c>
    </row>
    <row r="4" spans="1:15" x14ac:dyDescent="0.3">
      <c r="A4" s="3" t="s">
        <v>8</v>
      </c>
      <c r="B4" s="4">
        <v>16.23</v>
      </c>
      <c r="C4" s="4">
        <v>8.02</v>
      </c>
      <c r="D4" s="4">
        <v>7.74</v>
      </c>
      <c r="E4" s="4">
        <v>20.149999999999999</v>
      </c>
      <c r="F4" s="4">
        <v>9.92</v>
      </c>
      <c r="G4" s="4">
        <v>9.0399999999999991</v>
      </c>
      <c r="H4" s="4">
        <v>30.25</v>
      </c>
      <c r="I4" s="4">
        <v>14.81</v>
      </c>
      <c r="J4" s="4">
        <v>14.06</v>
      </c>
      <c r="K4" s="26">
        <f>(D4-C4)/B4</f>
        <v>-1.7252002464571741E-2</v>
      </c>
      <c r="L4" s="26">
        <f>(G4-F4)/E4</f>
        <v>-4.3672456575682424E-2</v>
      </c>
      <c r="M4" s="26">
        <f>(J4-I4)/H4</f>
        <v>-2.4793388429752067E-2</v>
      </c>
      <c r="N4" s="33">
        <f>AVERAGE(K4:M8)</f>
        <v>-5.7240652159934603E-2</v>
      </c>
      <c r="O4">
        <f>_xlfn.STDEV.P(K4:M8)</f>
        <v>2.9224143921484362E-2</v>
      </c>
    </row>
    <row r="5" spans="1:15" x14ac:dyDescent="0.3">
      <c r="A5" s="3" t="s">
        <v>9</v>
      </c>
      <c r="B5" s="4">
        <v>22.36</v>
      </c>
      <c r="C5" s="4">
        <v>13.41</v>
      </c>
      <c r="D5" s="4">
        <v>12.54</v>
      </c>
      <c r="E5" s="4">
        <v>30.87</v>
      </c>
      <c r="F5" s="4">
        <v>17.829999999999998</v>
      </c>
      <c r="G5" s="4">
        <v>16.87</v>
      </c>
      <c r="H5" s="4">
        <v>22.13</v>
      </c>
      <c r="I5" s="4">
        <v>12.27</v>
      </c>
      <c r="J5" s="5">
        <v>10.6</v>
      </c>
      <c r="K5" s="26">
        <f t="shared" ref="K5:K8" si="0">(D5-C5)/B5</f>
        <v>-3.8908765652951746E-2</v>
      </c>
      <c r="L5" s="26">
        <f>(G5-F5)/E5</f>
        <v>-3.1098153547133051E-2</v>
      </c>
      <c r="M5" s="26">
        <f>(J5-I5)/H5</f>
        <v>-7.5463172164482603E-2</v>
      </c>
    </row>
    <row r="6" spans="1:15" x14ac:dyDescent="0.3">
      <c r="A6" s="3" t="s">
        <v>10</v>
      </c>
      <c r="B6" s="4">
        <v>26.48</v>
      </c>
      <c r="C6" s="4">
        <v>11.54</v>
      </c>
      <c r="D6" s="4">
        <v>10.050000000000001</v>
      </c>
      <c r="E6" s="4">
        <v>23.69</v>
      </c>
      <c r="F6" s="4">
        <v>10.220000000000001</v>
      </c>
      <c r="G6" s="4">
        <v>8.66</v>
      </c>
      <c r="H6" s="4">
        <v>22.74</v>
      </c>
      <c r="I6" s="4">
        <v>10.73</v>
      </c>
      <c r="J6" s="5">
        <v>9.5</v>
      </c>
      <c r="K6" s="26">
        <f t="shared" si="0"/>
        <v>-5.6268882175226527E-2</v>
      </c>
      <c r="L6" s="26">
        <f>(G6-F6)/E6</f>
        <v>-6.5850569860700731E-2</v>
      </c>
      <c r="M6" s="26">
        <f>(J6-I6)/H6</f>
        <v>-5.4089709762533002E-2</v>
      </c>
    </row>
    <row r="7" spans="1:15" x14ac:dyDescent="0.3">
      <c r="A7" s="3" t="s">
        <v>11</v>
      </c>
      <c r="B7" s="4">
        <v>23.11</v>
      </c>
      <c r="C7" s="5">
        <v>8.1999999999999993</v>
      </c>
      <c r="D7" s="4">
        <v>6.32</v>
      </c>
      <c r="E7" s="4">
        <v>11.27</v>
      </c>
      <c r="F7" s="4">
        <v>5.31</v>
      </c>
      <c r="G7" s="4">
        <v>3.86</v>
      </c>
      <c r="H7" s="4">
        <v>17.11</v>
      </c>
      <c r="I7" s="4">
        <v>6.03</v>
      </c>
      <c r="J7" s="4">
        <v>4.2300000000000004</v>
      </c>
      <c r="K7" s="26">
        <f t="shared" si="0"/>
        <v>-8.135006490696664E-2</v>
      </c>
      <c r="L7" s="26">
        <f>(G7-F7)/E7</f>
        <v>-0.12866015971606032</v>
      </c>
      <c r="M7" s="26">
        <f>(J7-I7)/H7</f>
        <v>-0.10520163646990063</v>
      </c>
    </row>
    <row r="8" spans="1:15" x14ac:dyDescent="0.3">
      <c r="A8" s="3" t="s">
        <v>12</v>
      </c>
      <c r="B8" s="4">
        <v>31.14</v>
      </c>
      <c r="C8" s="4">
        <v>14.47</v>
      </c>
      <c r="D8" s="4">
        <v>13.19</v>
      </c>
      <c r="E8" s="5">
        <v>25.8</v>
      </c>
      <c r="F8" s="4">
        <v>12.12</v>
      </c>
      <c r="G8" s="4">
        <v>10.71</v>
      </c>
      <c r="H8" s="4">
        <v>22.86</v>
      </c>
      <c r="I8" s="4">
        <v>11.64</v>
      </c>
      <c r="J8" s="4">
        <v>10.72</v>
      </c>
      <c r="K8" s="26">
        <f t="shared" si="0"/>
        <v>-4.1104688503532473E-2</v>
      </c>
      <c r="L8" s="26">
        <f>(G8-F8)/E8</f>
        <v>-5.4651162790697608E-2</v>
      </c>
      <c r="M8" s="26">
        <f>(J8-I8)/H8</f>
        <v>-4.0244969378827641E-2</v>
      </c>
    </row>
    <row r="9" spans="1:15" x14ac:dyDescent="0.3">
      <c r="A9" s="35" t="s">
        <v>13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5" x14ac:dyDescent="0.3">
      <c r="A10" s="16"/>
      <c r="B10" s="34" t="s">
        <v>16</v>
      </c>
      <c r="C10" s="34"/>
      <c r="D10" s="34"/>
      <c r="E10" s="34" t="s">
        <v>17</v>
      </c>
      <c r="F10" s="34"/>
      <c r="G10" s="34"/>
      <c r="H10" s="34" t="s">
        <v>18</v>
      </c>
      <c r="I10" s="34"/>
      <c r="J10" s="34"/>
      <c r="K10" s="30" t="s">
        <v>16</v>
      </c>
      <c r="L10" s="30" t="s">
        <v>17</v>
      </c>
      <c r="M10" s="30" t="s">
        <v>18</v>
      </c>
    </row>
    <row r="11" spans="1:15" x14ac:dyDescent="0.3">
      <c r="A11" s="1"/>
      <c r="B11" s="1" t="s">
        <v>21</v>
      </c>
      <c r="C11" s="1" t="s">
        <v>22</v>
      </c>
      <c r="D11" s="1" t="s">
        <v>23</v>
      </c>
      <c r="E11" s="1" t="s">
        <v>21</v>
      </c>
      <c r="F11" s="1" t="s">
        <v>22</v>
      </c>
      <c r="G11" s="1" t="s">
        <v>23</v>
      </c>
      <c r="H11" s="1" t="s">
        <v>21</v>
      </c>
      <c r="I11" s="1" t="s">
        <v>22</v>
      </c>
      <c r="J11" s="1" t="s">
        <v>23</v>
      </c>
      <c r="K11" s="25" t="s">
        <v>32</v>
      </c>
      <c r="L11" s="25" t="s">
        <v>32</v>
      </c>
      <c r="M11" s="25" t="s">
        <v>32</v>
      </c>
      <c r="N11" s="32" t="s">
        <v>41</v>
      </c>
      <c r="O11" s="32" t="s">
        <v>42</v>
      </c>
    </row>
    <row r="12" spans="1:15" x14ac:dyDescent="0.3">
      <c r="A12" s="3" t="s">
        <v>8</v>
      </c>
      <c r="B12" s="4">
        <v>30.51</v>
      </c>
      <c r="C12" s="4">
        <v>6.22</v>
      </c>
      <c r="D12" s="4">
        <v>29.18</v>
      </c>
      <c r="E12" s="4">
        <v>38.46</v>
      </c>
      <c r="F12" s="4">
        <v>11.45</v>
      </c>
      <c r="G12" s="4">
        <v>28.02</v>
      </c>
      <c r="H12" s="4">
        <v>27.44</v>
      </c>
      <c r="I12" s="4">
        <v>6.71</v>
      </c>
      <c r="J12" s="4">
        <v>26.38</v>
      </c>
      <c r="K12" s="26">
        <f>(D12-C12)/B12</f>
        <v>0.75254015077023928</v>
      </c>
      <c r="L12" s="26">
        <f>(G12-F12)/E12</f>
        <v>0.43083723348933955</v>
      </c>
      <c r="M12" s="26">
        <f>(J12-I12)/H12</f>
        <v>0.71683673469387743</v>
      </c>
      <c r="N12" s="33">
        <f>AVERAGE(K12:M16)</f>
        <v>0.82912736787704044</v>
      </c>
      <c r="O12">
        <f>_xlfn.STDEV.P(K12:M16)</f>
        <v>0.12006779369808189</v>
      </c>
    </row>
    <row r="13" spans="1:15" x14ac:dyDescent="0.3">
      <c r="A13" s="3" t="s">
        <v>9</v>
      </c>
      <c r="B13" s="4">
        <v>41.44</v>
      </c>
      <c r="C13" s="4">
        <v>12.49</v>
      </c>
      <c r="D13" s="4">
        <v>48.07</v>
      </c>
      <c r="E13" s="4">
        <v>35.69</v>
      </c>
      <c r="F13" s="4">
        <v>12.76</v>
      </c>
      <c r="G13" s="4">
        <v>41.65</v>
      </c>
      <c r="H13" s="4">
        <v>69.02</v>
      </c>
      <c r="I13" s="4">
        <v>19.760000000000002</v>
      </c>
      <c r="J13" s="4">
        <v>80.16</v>
      </c>
      <c r="K13" s="26">
        <f t="shared" ref="K13:K16" si="1">(D13-C13)/B13</f>
        <v>0.85859073359073357</v>
      </c>
      <c r="L13" s="26">
        <f>(G13-F13)/E13</f>
        <v>0.80947043989913148</v>
      </c>
      <c r="M13" s="26">
        <f>(J13-I13)/H13</f>
        <v>0.87510866415531718</v>
      </c>
    </row>
    <row r="14" spans="1:15" x14ac:dyDescent="0.3">
      <c r="A14" s="3" t="s">
        <v>10</v>
      </c>
      <c r="B14" s="4">
        <v>44.72</v>
      </c>
      <c r="C14" s="4">
        <v>0</v>
      </c>
      <c r="D14" s="4">
        <v>41.23</v>
      </c>
      <c r="E14" s="4">
        <v>48.39</v>
      </c>
      <c r="F14" s="4">
        <v>0</v>
      </c>
      <c r="G14" s="4">
        <v>44.51</v>
      </c>
      <c r="H14" s="4">
        <v>107.28</v>
      </c>
      <c r="I14" s="4">
        <v>0</v>
      </c>
      <c r="J14" s="4">
        <v>94.87</v>
      </c>
      <c r="K14" s="26">
        <f t="shared" si="1"/>
        <v>0.92195885509838993</v>
      </c>
      <c r="L14" s="26">
        <f>(G14-F14)/E14</f>
        <v>0.91981814424467856</v>
      </c>
      <c r="M14" s="26">
        <f>(J14-I14)/H14</f>
        <v>0.88432140193885167</v>
      </c>
    </row>
    <row r="15" spans="1:15" x14ac:dyDescent="0.3">
      <c r="A15" s="3" t="s">
        <v>11</v>
      </c>
      <c r="B15" s="4">
        <v>52.88</v>
      </c>
      <c r="C15" s="4">
        <v>-8.98</v>
      </c>
      <c r="D15" s="4">
        <v>37.340000000000003</v>
      </c>
      <c r="E15" s="4">
        <v>72.739999999999995</v>
      </c>
      <c r="F15" s="4">
        <v>-11.81</v>
      </c>
      <c r="G15" s="4">
        <v>50.72</v>
      </c>
      <c r="H15" s="4">
        <v>70.66</v>
      </c>
      <c r="I15" s="4">
        <v>-12.13</v>
      </c>
      <c r="J15" s="4">
        <v>49.2</v>
      </c>
      <c r="K15" s="26">
        <f t="shared" si="1"/>
        <v>0.87594553706505307</v>
      </c>
      <c r="L15" s="26">
        <f>(G15-F15)/E15</f>
        <v>0.85963706351388514</v>
      </c>
      <c r="M15" s="26">
        <f>(J15-I15)/H15</f>
        <v>0.86795924143787162</v>
      </c>
    </row>
    <row r="16" spans="1:15" x14ac:dyDescent="0.3">
      <c r="A16" s="6" t="s">
        <v>12</v>
      </c>
      <c r="B16" s="7">
        <v>12.34</v>
      </c>
      <c r="C16" s="7">
        <v>0</v>
      </c>
      <c r="D16" s="7">
        <v>11.23</v>
      </c>
      <c r="E16" s="7">
        <v>11.21</v>
      </c>
      <c r="F16" s="7">
        <v>0</v>
      </c>
      <c r="G16" s="7">
        <v>9.74</v>
      </c>
      <c r="H16" s="7">
        <v>11.91</v>
      </c>
      <c r="I16" s="7">
        <v>0</v>
      </c>
      <c r="J16" s="7">
        <v>10.54</v>
      </c>
      <c r="K16" s="27">
        <f t="shared" si="1"/>
        <v>0.91004862236628858</v>
      </c>
      <c r="L16" s="27">
        <f>(G16-F16)/E16</f>
        <v>0.86886708296164139</v>
      </c>
      <c r="M16" s="27">
        <f>(J16-I16)/H16</f>
        <v>0.88497061293031054</v>
      </c>
    </row>
  </sheetData>
  <mergeCells count="8">
    <mergeCell ref="B1:M1"/>
    <mergeCell ref="B10:D10"/>
    <mergeCell ref="E10:G10"/>
    <mergeCell ref="H10:J10"/>
    <mergeCell ref="A9:M9"/>
    <mergeCell ref="B2:D2"/>
    <mergeCell ref="E2:G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032-8308-4DBB-A73F-BBC6A419CB3A}">
  <dimension ref="A1:R16"/>
  <sheetViews>
    <sheetView tabSelected="1" workbookViewId="0">
      <selection sqref="A1:I1"/>
    </sheetView>
  </sheetViews>
  <sheetFormatPr baseColWidth="10" defaultRowHeight="14.4" x14ac:dyDescent="0.3"/>
  <cols>
    <col min="4" max="6" width="14.77734375" customWidth="1"/>
    <col min="10" max="12" width="14.5546875" customWidth="1"/>
  </cols>
  <sheetData>
    <row r="1" spans="1:18" x14ac:dyDescent="0.3">
      <c r="A1" s="37" t="s">
        <v>7</v>
      </c>
      <c r="B1" s="37"/>
      <c r="C1" s="37"/>
      <c r="D1" s="37"/>
      <c r="E1" s="37"/>
      <c r="F1" s="37"/>
      <c r="G1" s="37"/>
      <c r="H1" s="37"/>
      <c r="I1" s="37"/>
      <c r="J1" s="25"/>
      <c r="K1" s="25"/>
      <c r="L1" s="25"/>
      <c r="M1" s="19"/>
      <c r="N1" s="19"/>
      <c r="O1" s="19"/>
    </row>
    <row r="2" spans="1:18" x14ac:dyDescent="0.3">
      <c r="A2" s="16"/>
      <c r="B2" s="16"/>
      <c r="C2" s="16"/>
      <c r="D2" s="24" t="s">
        <v>16</v>
      </c>
      <c r="E2" s="24" t="s">
        <v>17</v>
      </c>
      <c r="F2" s="24" t="s">
        <v>18</v>
      </c>
      <c r="G2" s="24" t="s">
        <v>16</v>
      </c>
      <c r="H2" s="24" t="s">
        <v>17</v>
      </c>
      <c r="I2" s="24" t="s">
        <v>18</v>
      </c>
      <c r="J2" s="24" t="s">
        <v>16</v>
      </c>
      <c r="K2" s="24" t="s">
        <v>17</v>
      </c>
      <c r="L2" s="24" t="s">
        <v>18</v>
      </c>
      <c r="M2" s="24" t="s">
        <v>16</v>
      </c>
      <c r="N2" s="24" t="s">
        <v>17</v>
      </c>
      <c r="O2" s="24" t="s">
        <v>18</v>
      </c>
      <c r="P2" s="24" t="s">
        <v>16</v>
      </c>
      <c r="Q2" s="24" t="s">
        <v>17</v>
      </c>
      <c r="R2" s="24" t="s">
        <v>18</v>
      </c>
    </row>
    <row r="3" spans="1:18" x14ac:dyDescent="0.3">
      <c r="A3" s="1" t="s">
        <v>6</v>
      </c>
      <c r="B3" s="25" t="s">
        <v>19</v>
      </c>
      <c r="C3" s="25" t="s">
        <v>20</v>
      </c>
      <c r="D3" s="25" t="s">
        <v>21</v>
      </c>
      <c r="E3" s="25" t="s">
        <v>21</v>
      </c>
      <c r="F3" s="25" t="s">
        <v>21</v>
      </c>
      <c r="G3" s="37" t="s">
        <v>32</v>
      </c>
      <c r="H3" s="37"/>
      <c r="I3" s="37"/>
      <c r="J3" s="37" t="s">
        <v>33</v>
      </c>
      <c r="K3" s="37"/>
      <c r="L3" s="37"/>
      <c r="M3" s="37" t="s">
        <v>34</v>
      </c>
      <c r="N3" s="37"/>
      <c r="O3" s="37"/>
      <c r="P3" s="37" t="s">
        <v>35</v>
      </c>
      <c r="Q3" s="37"/>
      <c r="R3" s="37"/>
    </row>
    <row r="4" spans="1:18" x14ac:dyDescent="0.3">
      <c r="A4" s="3" t="s">
        <v>8</v>
      </c>
      <c r="B4" s="4">
        <f xml:space="preserve"> masas!B13 + masas!B11</f>
        <v>224.05000000000004</v>
      </c>
      <c r="C4" s="4">
        <f xml:space="preserve"> masas!B13 + masas!B10</f>
        <v>214.05000000000004</v>
      </c>
      <c r="D4" s="4">
        <v>16.23</v>
      </c>
      <c r="E4" s="4">
        <v>20.149999999999999</v>
      </c>
      <c r="F4" s="4">
        <v>30.25</v>
      </c>
      <c r="G4" s="26">
        <v>-1.7252002464571741E-2</v>
      </c>
      <c r="H4" s="26">
        <v>-4.3672456575682424E-2</v>
      </c>
      <c r="I4" s="26">
        <v>-2.4793388429752067E-2</v>
      </c>
      <c r="J4" s="26">
        <v>15891.726422500007</v>
      </c>
      <c r="K4" s="26">
        <v>25714.439362499994</v>
      </c>
      <c r="L4" s="26">
        <v>56781.662670000005</v>
      </c>
      <c r="M4" s="26">
        <f>B4*C4/(2*(B4+C4))*D4^2*(1-G4^2)</f>
        <v>14413.342017674338</v>
      </c>
      <c r="N4" s="26">
        <f>B4*C4/(2*(B4+C4))*E4^2*(1-H4^2)</f>
        <v>22180.83641646913</v>
      </c>
      <c r="O4" s="26">
        <f>B4*C4/(2*(B4+C4))*F4^2*(1-I4^2)</f>
        <v>50054.21346296509</v>
      </c>
      <c r="P4" s="26">
        <f>(M4-J4)/M4*100</f>
        <v>-10.257054907965149</v>
      </c>
      <c r="Q4" s="26">
        <f>(N4-K4)/N4*100</f>
        <v>-15.930882315182604</v>
      </c>
      <c r="R4" s="26">
        <f t="shared" ref="R4" si="0">(O4-L4)/O4*100</f>
        <v>-13.440325482314346</v>
      </c>
    </row>
    <row r="5" spans="1:18" x14ac:dyDescent="0.3">
      <c r="A5" s="3" t="s">
        <v>9</v>
      </c>
      <c r="B5" s="4">
        <f xml:space="preserve"> masas!B13 + masas!B12</f>
        <v>366.05000000000007</v>
      </c>
      <c r="C5" s="4">
        <f xml:space="preserve"> masas!B13 + masas!B10</f>
        <v>214.05000000000004</v>
      </c>
      <c r="D5" s="4">
        <v>22.36</v>
      </c>
      <c r="E5" s="4">
        <v>30.87</v>
      </c>
      <c r="F5" s="4">
        <v>22.13</v>
      </c>
      <c r="G5" s="26">
        <v>-3.8908765652951746E-2</v>
      </c>
      <c r="H5" s="26">
        <v>-3.1098153547133051E-2</v>
      </c>
      <c r="I5" s="26">
        <v>-7.5463172164482603E-2</v>
      </c>
      <c r="J5" s="26">
        <v>41764.045547500005</v>
      </c>
      <c r="K5" s="26">
        <v>85770.676977500028</v>
      </c>
      <c r="L5" s="26">
        <v>50053.8226</v>
      </c>
      <c r="M5" s="26">
        <f t="shared" ref="M5:M8" si="1">B5*C5/(2*(B5+C5))*D5^2*(1-G5^2)</f>
        <v>33713.854448484533</v>
      </c>
      <c r="N5" s="26">
        <f t="shared" ref="N5:N8" si="2">B5*C5/(2*(B5+C5))*E5^2*(1-H5^2)</f>
        <v>64294.797656428433</v>
      </c>
      <c r="O5" s="26">
        <f t="shared" ref="O5:O8" si="3">B5*C5/(2*(B5+C5))*F5^2*(1-I5^2)</f>
        <v>32885.569609868988</v>
      </c>
      <c r="P5" s="26">
        <f t="shared" ref="P5:P8" si="4">(M5-J5)/M5*100</f>
        <v>-23.877990905241436</v>
      </c>
      <c r="Q5" s="26">
        <f t="shared" ref="Q5:Q8" si="5">(N5-K5)/N5*100</f>
        <v>-33.402203761231306</v>
      </c>
      <c r="R5" s="26">
        <f t="shared" ref="R5:R8" si="6">(O5-L5)/O5*100</f>
        <v>-52.206038070202091</v>
      </c>
    </row>
    <row r="6" spans="1:18" x14ac:dyDescent="0.3">
      <c r="A6" s="3" t="s">
        <v>10</v>
      </c>
      <c r="B6" s="4">
        <f xml:space="preserve"> masas!B13 + masas!B10</f>
        <v>214.05000000000004</v>
      </c>
      <c r="C6" s="4">
        <f xml:space="preserve"> masas!B13 + masas!B11</f>
        <v>224.05000000000004</v>
      </c>
      <c r="D6" s="4">
        <v>26.48</v>
      </c>
      <c r="E6" s="4">
        <v>23.69</v>
      </c>
      <c r="F6" s="4">
        <v>22.74</v>
      </c>
      <c r="G6" s="26">
        <v>-5.6268882175226527E-2</v>
      </c>
      <c r="H6" s="26">
        <v>-6.5850569860700731E-2</v>
      </c>
      <c r="I6" s="26">
        <v>-5.4089709762533002E-2</v>
      </c>
      <c r="J6" s="26">
        <v>49477.407007500013</v>
      </c>
      <c r="K6" s="26">
        <v>40484.181002500016</v>
      </c>
      <c r="L6" s="26">
        <v>32911.086017499998</v>
      </c>
      <c r="M6" s="26">
        <f t="shared" si="1"/>
        <v>38257.417824464465</v>
      </c>
      <c r="N6" s="26">
        <f t="shared" si="2"/>
        <v>30584.38330712881</v>
      </c>
      <c r="O6" s="26">
        <f t="shared" si="3"/>
        <v>28220.543656832629</v>
      </c>
      <c r="P6" s="26">
        <f t="shared" si="4"/>
        <v>-29.327617547310535</v>
      </c>
      <c r="Q6" s="26">
        <f t="shared" si="5"/>
        <v>-32.368799448912526</v>
      </c>
      <c r="R6" s="26">
        <f t="shared" si="6"/>
        <v>-16.621020550508479</v>
      </c>
    </row>
    <row r="7" spans="1:18" x14ac:dyDescent="0.3">
      <c r="A7" s="3" t="s">
        <v>11</v>
      </c>
      <c r="B7" s="4">
        <f xml:space="preserve"> masas!B13 + masas!B10</f>
        <v>214.05000000000004</v>
      </c>
      <c r="C7" s="4">
        <f xml:space="preserve"> masas!B13 + masas!B12</f>
        <v>366.05000000000007</v>
      </c>
      <c r="D7" s="4">
        <v>23.11</v>
      </c>
      <c r="E7" s="4">
        <v>11.27</v>
      </c>
      <c r="F7" s="4">
        <v>17.11</v>
      </c>
      <c r="G7" s="26">
        <v>-8.135006490696664E-2</v>
      </c>
      <c r="H7" s="26">
        <v>-0.12866015971606032</v>
      </c>
      <c r="I7" s="26">
        <v>-0.10520163646990063</v>
      </c>
      <c r="J7" s="26">
        <v>42652.247742500003</v>
      </c>
      <c r="K7" s="26">
        <v>7848.868730000002</v>
      </c>
      <c r="L7" s="26">
        <v>24165.420157500004</v>
      </c>
      <c r="M7" s="26">
        <f t="shared" si="1"/>
        <v>35829.358502365329</v>
      </c>
      <c r="N7" s="26">
        <f t="shared" si="2"/>
        <v>8435.7049504188944</v>
      </c>
      <c r="O7" s="26">
        <f t="shared" si="3"/>
        <v>19551.924060575981</v>
      </c>
      <c r="P7" s="26">
        <f t="shared" si="4"/>
        <v>-19.042733460283003</v>
      </c>
      <c r="Q7" s="26">
        <f t="shared" si="5"/>
        <v>6.9565759337013295</v>
      </c>
      <c r="R7" s="26">
        <f t="shared" si="6"/>
        <v>-23.596123238973519</v>
      </c>
    </row>
    <row r="8" spans="1:18" x14ac:dyDescent="0.3">
      <c r="A8" s="3" t="s">
        <v>12</v>
      </c>
      <c r="B8" s="4">
        <f xml:space="preserve"> masas!B13</f>
        <v>203.65000000000003</v>
      </c>
      <c r="C8" s="4">
        <f xml:space="preserve"> masas!B13</f>
        <v>203.65000000000003</v>
      </c>
      <c r="D8" s="4">
        <v>31.14</v>
      </c>
      <c r="E8" s="5">
        <v>25.8</v>
      </c>
      <c r="F8" s="4">
        <v>22.86</v>
      </c>
      <c r="G8" s="26">
        <v>-4.1104688503532473E-2</v>
      </c>
      <c r="H8" s="26">
        <v>-5.4651162790697608E-2</v>
      </c>
      <c r="I8" s="26">
        <v>-4.0244969378827641E-2</v>
      </c>
      <c r="J8" s="26">
        <v>59704.335245000009</v>
      </c>
      <c r="K8" s="26">
        <v>41141.5257375</v>
      </c>
      <c r="L8" s="26">
        <v>27713.873170000006</v>
      </c>
      <c r="M8" s="26">
        <f t="shared" si="1"/>
        <v>49286.41584500001</v>
      </c>
      <c r="N8" s="26">
        <f t="shared" si="2"/>
        <v>33788.177358750007</v>
      </c>
      <c r="O8" s="26">
        <f t="shared" si="3"/>
        <v>26562.741545000008</v>
      </c>
      <c r="P8" s="26">
        <f t="shared" si="4"/>
        <v>-21.137506595657378</v>
      </c>
      <c r="Q8" s="26">
        <f t="shared" si="5"/>
        <v>-21.763080916365922</v>
      </c>
      <c r="R8" s="26">
        <f t="shared" si="6"/>
        <v>-4.3336325922904573</v>
      </c>
    </row>
    <row r="9" spans="1:18" x14ac:dyDescent="0.3">
      <c r="A9" s="37" t="s">
        <v>13</v>
      </c>
      <c r="B9" s="37"/>
      <c r="C9" s="37"/>
      <c r="D9" s="37"/>
      <c r="E9" s="37"/>
      <c r="F9" s="37"/>
      <c r="G9" s="37"/>
      <c r="H9" s="37"/>
      <c r="I9" s="37"/>
      <c r="J9" s="25"/>
      <c r="K9" s="25"/>
      <c r="L9" s="25"/>
      <c r="M9" s="19"/>
      <c r="N9" s="19"/>
      <c r="O9" s="19"/>
      <c r="P9" s="19"/>
      <c r="Q9" s="19"/>
      <c r="R9" s="19"/>
    </row>
    <row r="10" spans="1:18" x14ac:dyDescent="0.3">
      <c r="A10" s="16"/>
      <c r="B10" s="16"/>
      <c r="C10" s="16"/>
      <c r="D10" s="24" t="s">
        <v>16</v>
      </c>
      <c r="E10" s="24" t="s">
        <v>17</v>
      </c>
      <c r="F10" s="24" t="s">
        <v>18</v>
      </c>
      <c r="G10" s="24" t="s">
        <v>16</v>
      </c>
      <c r="H10" s="24" t="s">
        <v>17</v>
      </c>
      <c r="I10" s="24" t="s">
        <v>18</v>
      </c>
      <c r="J10" s="24" t="s">
        <v>16</v>
      </c>
      <c r="K10" s="24" t="s">
        <v>17</v>
      </c>
      <c r="L10" s="24" t="s">
        <v>18</v>
      </c>
      <c r="M10" s="24" t="s">
        <v>16</v>
      </c>
      <c r="N10" s="24" t="s">
        <v>17</v>
      </c>
      <c r="O10" s="24" t="s">
        <v>18</v>
      </c>
      <c r="P10" s="24" t="s">
        <v>16</v>
      </c>
      <c r="Q10" s="24" t="s">
        <v>17</v>
      </c>
      <c r="R10" s="24" t="s">
        <v>18</v>
      </c>
    </row>
    <row r="11" spans="1:18" x14ac:dyDescent="0.3">
      <c r="A11" s="1"/>
      <c r="B11" s="25" t="s">
        <v>19</v>
      </c>
      <c r="C11" s="25" t="s">
        <v>20</v>
      </c>
      <c r="D11" s="25" t="s">
        <v>21</v>
      </c>
      <c r="E11" s="25" t="s">
        <v>21</v>
      </c>
      <c r="F11" s="25" t="s">
        <v>21</v>
      </c>
      <c r="G11" s="37" t="s">
        <v>32</v>
      </c>
      <c r="H11" s="37"/>
      <c r="I11" s="37"/>
      <c r="J11" s="37" t="s">
        <v>33</v>
      </c>
      <c r="K11" s="37"/>
      <c r="L11" s="37"/>
      <c r="M11" s="37" t="s">
        <v>34</v>
      </c>
      <c r="N11" s="37"/>
      <c r="O11" s="37"/>
      <c r="P11" s="37" t="s">
        <v>35</v>
      </c>
      <c r="Q11" s="37"/>
      <c r="R11" s="37"/>
    </row>
    <row r="12" spans="1:18" x14ac:dyDescent="0.3">
      <c r="A12" s="3" t="s">
        <v>8</v>
      </c>
      <c r="B12" s="4">
        <f xml:space="preserve"> masas!B13 + masas!B11</f>
        <v>224.05000000000004</v>
      </c>
      <c r="C12" s="4">
        <f xml:space="preserve"> masas!B13 + masas!B10</f>
        <v>214.05000000000004</v>
      </c>
      <c r="D12" s="4">
        <v>30.51</v>
      </c>
      <c r="E12" s="4">
        <v>38.46</v>
      </c>
      <c r="F12" s="4">
        <v>27.44</v>
      </c>
      <c r="G12" s="26">
        <v>0.75254015077023928</v>
      </c>
      <c r="H12" s="26">
        <v>0.43083723348933955</v>
      </c>
      <c r="I12" s="26">
        <v>0.71683673469387743</v>
      </c>
      <c r="J12" s="26">
        <v>8816.7010825000179</v>
      </c>
      <c r="K12" s="26">
        <v>66989.930117500015</v>
      </c>
      <c r="L12" s="26">
        <v>4826.6338275000162</v>
      </c>
      <c r="M12" s="26">
        <f>B12*C12/(2*(B12+C12))*D12^2*(1-G12^2)</f>
        <v>22096.020660118989</v>
      </c>
      <c r="N12" s="26">
        <f>B12*C12/(2*(B12+C12))*E12^2*(1-H12^2)</f>
        <v>65932.904210735869</v>
      </c>
      <c r="O12" s="26">
        <f>B12*C12/(2*(B12+C12))*F12^2*(1-I12^2)</f>
        <v>20035.078787082584</v>
      </c>
      <c r="P12" s="26">
        <f>(M12-J12)/M12*100</f>
        <v>60.09824023013681</v>
      </c>
      <c r="Q12" s="26">
        <f>(N12-K12)/N12*100</f>
        <v>-1.6031842058491179</v>
      </c>
      <c r="R12" s="26">
        <f t="shared" ref="R12" si="7">(O12-L12)/O12*100</f>
        <v>75.909084866629328</v>
      </c>
    </row>
    <row r="13" spans="1:18" x14ac:dyDescent="0.3">
      <c r="A13" s="3" t="s">
        <v>9</v>
      </c>
      <c r="B13" s="4">
        <f xml:space="preserve"> masas!B13 + masas!B12</f>
        <v>366.05000000000007</v>
      </c>
      <c r="C13" s="4">
        <f xml:space="preserve"> masas!B13 + masas!B10</f>
        <v>214.05000000000004</v>
      </c>
      <c r="D13" s="4">
        <v>41.44</v>
      </c>
      <c r="E13" s="4">
        <v>35.69</v>
      </c>
      <c r="F13" s="4">
        <v>69.02</v>
      </c>
      <c r="G13" s="26">
        <v>0.85859073359073357</v>
      </c>
      <c r="H13" s="26">
        <v>0.80947043989913148</v>
      </c>
      <c r="I13" s="26">
        <v>0.87510866415531718</v>
      </c>
      <c r="J13" s="26">
        <v>38446.749914999993</v>
      </c>
      <c r="K13" s="26">
        <v>17674.503899999982</v>
      </c>
      <c r="L13" s="26">
        <v>112721.16512999998</v>
      </c>
      <c r="M13" s="26">
        <f t="shared" ref="M13:M14" si="8">B13*C13/(2*(B13+C13))*D13^2*(1-G13^2)</f>
        <v>30480.62813303138</v>
      </c>
      <c r="N13" s="26">
        <f t="shared" ref="N13:N15" si="9">B13*C13/(2*(B13+C13))*E13^2*(1-H13^2)</f>
        <v>29657.171978848459</v>
      </c>
      <c r="O13" s="26">
        <f t="shared" ref="O13:O15" si="10">B13*C13/(2*(B13+C13))*F13^2*(1-I13^2)</f>
        <v>75341.010972419477</v>
      </c>
      <c r="P13" s="26">
        <f t="shared" ref="P13:P15" si="11">(M13-J13)/M13*100</f>
        <v>-26.135031559063744</v>
      </c>
      <c r="Q13" s="26">
        <f t="shared" ref="Q13:Q16" si="12">(N13-K13)/N13*100</f>
        <v>40.403947103906383</v>
      </c>
      <c r="R13" s="26">
        <f t="shared" ref="R13:R16" si="13">(O13-L13)/O13*100</f>
        <v>-49.614617158859829</v>
      </c>
    </row>
    <row r="14" spans="1:18" x14ac:dyDescent="0.3">
      <c r="A14" s="3" t="s">
        <v>10</v>
      </c>
      <c r="B14" s="4">
        <f xml:space="preserve"> masas!B13 + masas!B10</f>
        <v>214.05000000000004</v>
      </c>
      <c r="C14" s="4">
        <f xml:space="preserve"> masas!B13 + masas!B11</f>
        <v>224.05000000000004</v>
      </c>
      <c r="D14" s="4">
        <v>44.72</v>
      </c>
      <c r="E14" s="4">
        <v>48.39</v>
      </c>
      <c r="F14" s="4">
        <v>107.28</v>
      </c>
      <c r="G14" s="26">
        <v>0.92195885509838993</v>
      </c>
      <c r="H14" s="26">
        <v>0.91981814424467856</v>
      </c>
      <c r="I14" s="26">
        <v>0.88432140193885167</v>
      </c>
      <c r="J14" s="26">
        <v>23604.243137499987</v>
      </c>
      <c r="K14" s="26">
        <v>28671.674800000008</v>
      </c>
      <c r="L14" s="26">
        <v>223490.05303749989</v>
      </c>
      <c r="M14" s="26">
        <f t="shared" si="8"/>
        <v>16418.301988545718</v>
      </c>
      <c r="N14" s="26">
        <f t="shared" si="9"/>
        <v>19728.96812591876</v>
      </c>
      <c r="O14" s="26">
        <f t="shared" si="10"/>
        <v>137310.09219419508</v>
      </c>
      <c r="P14" s="26">
        <f t="shared" si="11"/>
        <v>-43.767870477516887</v>
      </c>
      <c r="Q14" s="26">
        <f t="shared" si="12"/>
        <v>-45.327797262406463</v>
      </c>
      <c r="R14" s="26">
        <f t="shared" si="13"/>
        <v>-62.763020158359609</v>
      </c>
    </row>
    <row r="15" spans="1:18" x14ac:dyDescent="0.3">
      <c r="A15" s="3" t="s">
        <v>11</v>
      </c>
      <c r="B15" s="4">
        <f xml:space="preserve"> masas!B13 + masas!B10</f>
        <v>214.05000000000004</v>
      </c>
      <c r="C15" s="4">
        <f xml:space="preserve"> masas!B13 + masas!B12</f>
        <v>366.05000000000007</v>
      </c>
      <c r="D15" s="4">
        <v>52.88</v>
      </c>
      <c r="E15" s="4">
        <v>72.739999999999995</v>
      </c>
      <c r="F15" s="4">
        <v>70.66</v>
      </c>
      <c r="G15" s="26">
        <v>0.87594553706505307</v>
      </c>
      <c r="H15" s="26">
        <v>0.85963706351388514</v>
      </c>
      <c r="I15" s="26">
        <v>0.86795924143787162</v>
      </c>
      <c r="J15" s="26">
        <v>35455.57766000001</v>
      </c>
      <c r="K15" s="26">
        <v>80518.181127500022</v>
      </c>
      <c r="L15" s="26">
        <v>75573.267367499939</v>
      </c>
      <c r="M15" s="26">
        <f>B15*C15/(2*(B15+C15))*D15^2*(1-G15^2)</f>
        <v>43947.916809929287</v>
      </c>
      <c r="N15" s="26">
        <f t="shared" si="9"/>
        <v>93271.726183301784</v>
      </c>
      <c r="O15" s="26">
        <f t="shared" si="10"/>
        <v>83165.931239240366</v>
      </c>
      <c r="P15" s="26">
        <f t="shared" si="11"/>
        <v>19.323644364436809</v>
      </c>
      <c r="Q15" s="26">
        <f t="shared" si="12"/>
        <v>13.673538142456938</v>
      </c>
      <c r="R15" s="26">
        <f t="shared" si="13"/>
        <v>9.129536288001022</v>
      </c>
    </row>
    <row r="16" spans="1:18" x14ac:dyDescent="0.3">
      <c r="A16" s="6" t="s">
        <v>12</v>
      </c>
      <c r="B16" s="7">
        <f xml:space="preserve"> masas!B13</f>
        <v>203.65000000000003</v>
      </c>
      <c r="C16" s="7">
        <f xml:space="preserve"> masas!B13</f>
        <v>203.65000000000003</v>
      </c>
      <c r="D16" s="7">
        <v>12.34</v>
      </c>
      <c r="E16" s="7">
        <v>11.21</v>
      </c>
      <c r="F16" s="7">
        <v>11.91</v>
      </c>
      <c r="G16" s="27">
        <v>0.91004862236628858</v>
      </c>
      <c r="H16" s="27">
        <v>0.86886708296164139</v>
      </c>
      <c r="I16" s="27">
        <v>0.88497061293031054</v>
      </c>
      <c r="J16" s="27">
        <v>2664.0169274999989</v>
      </c>
      <c r="K16" s="27">
        <v>3135.853612500001</v>
      </c>
      <c r="L16" s="27">
        <v>3131.7806125000025</v>
      </c>
      <c r="M16" s="27">
        <f>B16*C16/(2*(B16+C16))*D16^2*(1-G16^2)</f>
        <v>1332.0084637499988</v>
      </c>
      <c r="N16" s="27">
        <f>B16*C16/(2*(B16+C16))*E16^2*(1-H16^2)</f>
        <v>1567.9268062500009</v>
      </c>
      <c r="O16" s="27">
        <f>B16*C16/(2*(B16+C16))*F16^2*(1-I16^2)</f>
        <v>1565.8903062500019</v>
      </c>
      <c r="P16" s="26">
        <f>(M16-J16)/M16*100</f>
        <v>-100.00000000000011</v>
      </c>
      <c r="Q16" s="26">
        <f t="shared" si="12"/>
        <v>-99.999999999999943</v>
      </c>
      <c r="R16" s="26">
        <f t="shared" si="13"/>
        <v>-99.999999999999915</v>
      </c>
    </row>
  </sheetData>
  <mergeCells count="10">
    <mergeCell ref="P3:R3"/>
    <mergeCell ref="P11:R11"/>
    <mergeCell ref="A9:I9"/>
    <mergeCell ref="A1:I1"/>
    <mergeCell ref="G3:I3"/>
    <mergeCell ref="G11:I11"/>
    <mergeCell ref="M3:O3"/>
    <mergeCell ref="M11:O11"/>
    <mergeCell ref="J3:L3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masas</vt:lpstr>
      <vt:lpstr>velocidades</vt:lpstr>
      <vt:lpstr>energiaCinetica</vt:lpstr>
      <vt:lpstr>coeficienteE</vt:lpstr>
      <vt:lpstr>energiaPerdida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2021-09-21T14:17:06Z</dcterms:created>
  <dcterms:modified xsi:type="dcterms:W3CDTF">2021-10-04T02:42:22Z</dcterms:modified>
</cp:coreProperties>
</file>