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uarios\JuanGuarin\Escritorio\UNIVERSIDAD\3 TERCER SEMESTRE\LAB FÍSICA I\6 COLISIONES\Tracker\"/>
    </mc:Choice>
  </mc:AlternateContent>
  <xr:revisionPtr revIDLastSave="0" documentId="13_ncr:1_{D9653709-8296-49B7-954F-87420BF14720}" xr6:coauthVersionLast="47" xr6:coauthVersionMax="47" xr10:uidLastSave="{00000000-0000-0000-0000-000000000000}"/>
  <bookViews>
    <workbookView xWindow="-108" yWindow="-108" windowWidth="23256" windowHeight="12576" xr2:uid="{F17968A9-9605-4C7E-973D-2D0AEF0065C9}"/>
  </bookViews>
  <sheets>
    <sheet name="momentum_and_kinetic_energy" sheetId="8" r:id="rId1"/>
    <sheet name="angular_momentum" sheetId="10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8" l="1"/>
  <c r="R4" i="8"/>
  <c r="R5" i="8"/>
  <c r="R6" i="8"/>
  <c r="R2" i="8"/>
  <c r="H18" i="8"/>
  <c r="N6" i="8"/>
  <c r="N5" i="8"/>
  <c r="N4" i="8"/>
  <c r="N3" i="8"/>
  <c r="N2" i="8"/>
  <c r="O3" i="8"/>
  <c r="J4" i="10"/>
  <c r="I4" i="10"/>
  <c r="Q5" i="10"/>
  <c r="Q3" i="10"/>
  <c r="Q2" i="10"/>
  <c r="P6" i="10"/>
  <c r="Q6" i="10" s="1"/>
  <c r="P3" i="10"/>
  <c r="P5" i="10"/>
  <c r="P2" i="10"/>
  <c r="O6" i="10"/>
  <c r="O3" i="10"/>
  <c r="O4" i="10"/>
  <c r="O5" i="10"/>
  <c r="O2" i="10"/>
  <c r="F2" i="10"/>
  <c r="F5" i="10"/>
  <c r="E4" i="10"/>
  <c r="E3" i="10"/>
  <c r="F3" i="10"/>
  <c r="F4" i="10"/>
  <c r="E5" i="10"/>
  <c r="G6" i="10"/>
  <c r="F6" i="10"/>
  <c r="E6" i="10"/>
  <c r="E2" i="10"/>
  <c r="M6" i="10"/>
  <c r="L6" i="10"/>
  <c r="M5" i="10"/>
  <c r="L5" i="10"/>
  <c r="L4" i="10"/>
  <c r="M3" i="10"/>
  <c r="L3" i="10"/>
  <c r="M2" i="10"/>
  <c r="L2" i="10"/>
  <c r="N2" i="10" s="1"/>
  <c r="L22" i="8"/>
  <c r="L19" i="8"/>
  <c r="L20" i="8"/>
  <c r="L21" i="8"/>
  <c r="L18" i="8"/>
  <c r="K18" i="8"/>
  <c r="K19" i="8"/>
  <c r="K20" i="8"/>
  <c r="K21" i="8"/>
  <c r="K22" i="8"/>
  <c r="H22" i="8"/>
  <c r="I22" i="8"/>
  <c r="I19" i="8"/>
  <c r="I20" i="8"/>
  <c r="I21" i="8"/>
  <c r="I18" i="8"/>
  <c r="H19" i="8"/>
  <c r="H20" i="8"/>
  <c r="H21" i="8"/>
  <c r="P6" i="8"/>
  <c r="P3" i="8"/>
  <c r="P4" i="8"/>
  <c r="P5" i="8"/>
  <c r="P2" i="8"/>
  <c r="O4" i="8"/>
  <c r="O5" i="8"/>
  <c r="O6" i="8"/>
  <c r="O2" i="8"/>
  <c r="Q2" i="8" l="1"/>
  <c r="S2" i="8" s="1"/>
  <c r="Q4" i="8"/>
  <c r="S4" i="8" s="1"/>
  <c r="Q5" i="8"/>
  <c r="S5" i="8" s="1"/>
  <c r="J21" i="8"/>
  <c r="J20" i="8"/>
  <c r="J19" i="8"/>
  <c r="J22" i="8"/>
  <c r="M18" i="8"/>
  <c r="Q3" i="8"/>
  <c r="S3" i="8" s="1"/>
  <c r="M21" i="8"/>
  <c r="Q6" i="8"/>
  <c r="S6" i="8" s="1"/>
  <c r="J18" i="8"/>
  <c r="M20" i="8"/>
  <c r="M19" i="8"/>
  <c r="M22" i="8"/>
  <c r="M4" i="10"/>
  <c r="N4" i="10" s="1"/>
  <c r="P4" i="10"/>
  <c r="Q4" i="10" s="1"/>
  <c r="N5" i="10"/>
  <c r="N6" i="10"/>
  <c r="N3" i="10"/>
</calcChain>
</file>

<file path=xl/sharedStrings.xml><?xml version="1.0" encoding="utf-8"?>
<sst xmlns="http://schemas.openxmlformats.org/spreadsheetml/2006/main" count="64" uniqueCount="38">
  <si>
    <t>video</t>
  </si>
  <si>
    <t>Error p</t>
  </si>
  <si>
    <t>Error K</t>
  </si>
  <si>
    <t>e</t>
  </si>
  <si>
    <t>Error L</t>
  </si>
  <si>
    <t>m1 [kg]</t>
  </si>
  <si>
    <t>m3 [kg]</t>
  </si>
  <si>
    <t>m2 [kg]</t>
  </si>
  <si>
    <t>v1 [m/s]</t>
  </si>
  <si>
    <t>v1' [m/s]</t>
  </si>
  <si>
    <t>v2' [m/s]</t>
  </si>
  <si>
    <t>v3' [m/s]</t>
  </si>
  <si>
    <t>pi [kg m/s]</t>
  </si>
  <si>
    <t>pf [kg m/s]</t>
  </si>
  <si>
    <t>Ki [J]</t>
  </si>
  <si>
    <t>Kf [J]</t>
  </si>
  <si>
    <t>δm1 [kg]</t>
  </si>
  <si>
    <t>δm2 [kg]</t>
  </si>
  <si>
    <t>δm3 [kg]</t>
  </si>
  <si>
    <t>δv1 [m/s]</t>
  </si>
  <si>
    <t>δe</t>
  </si>
  <si>
    <t>δv1' [m/s]</t>
  </si>
  <si>
    <t>δv2' [m/s]</t>
  </si>
  <si>
    <t>δv3' [m/s]</t>
  </si>
  <si>
    <t>δpi [kg m/s]</t>
  </si>
  <si>
    <t>δpF [kg m/s]</t>
  </si>
  <si>
    <t>δError_p</t>
  </si>
  <si>
    <t>δError_K</t>
  </si>
  <si>
    <t>δki [j]</t>
  </si>
  <si>
    <t>δkf [j]</t>
  </si>
  <si>
    <t xml:space="preserve"> ΔK experimental</t>
  </si>
  <si>
    <t> ΔK teórico</t>
  </si>
  <si>
    <t>Error  ΔK</t>
  </si>
  <si>
    <t>r1 [m]</t>
  </si>
  <si>
    <t>r3 [m]</t>
  </si>
  <si>
    <t>r2 [m]</t>
  </si>
  <si>
    <t xml:space="preserve">Li [Kg m^2/s] </t>
  </si>
  <si>
    <t xml:space="preserve">Lf [Kg m^2/s]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</si>
</sst>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6" formatCode="0.000000000000000000000000000000000000000000000"/>
    <numFmt numFmtId="167" formatCode="0.000E+00"/>
    <numFmt numFmtId="168" formatCode="0.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NumberFormat="1" applyFont="1" applyBorder="1" applyAlignment="1">
      <alignment horizontal="right" wrapText="1"/>
    </xf>
    <xf numFmtId="2" fontId="0" fillId="0" borderId="0" xfId="0" applyNumberFormat="1"/>
    <xf numFmtId="166" fontId="0" fillId="0" borderId="0" xfId="0" applyNumberFormat="1"/>
    <xf numFmtId="0" fontId="0" fillId="0" borderId="0" xfId="0" applyNumberFormat="1" applyBorder="1"/>
    <xf numFmtId="0" fontId="0" fillId="0" borderId="0" xfId="0" applyNumberFormat="1" applyBorder="1" applyAlignment="1">
      <alignment vertical="center" wrapText="1"/>
    </xf>
    <xf numFmtId="0" fontId="0" fillId="0" borderId="0" xfId="0" applyBorder="1"/>
    <xf numFmtId="164" fontId="2" fillId="0" borderId="0" xfId="0" applyNumberFormat="1" applyFont="1" applyBorder="1"/>
    <xf numFmtId="164" fontId="2" fillId="0" borderId="0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center"/>
    </xf>
    <xf numFmtId="167" fontId="0" fillId="0" borderId="0" xfId="0" applyNumberFormat="1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8" fontId="0" fillId="0" borderId="0" xfId="0" applyNumberFormat="1"/>
    <xf numFmtId="164" fontId="2" fillId="2" borderId="0" xfId="0" applyNumberFormat="1" applyFont="1" applyFill="1" applyBorder="1" applyAlignment="1">
      <alignment horizontal="center"/>
    </xf>
    <xf numFmtId="11" fontId="0" fillId="2" borderId="0" xfId="0" applyNumberFormat="1" applyFill="1" applyBorder="1" applyAlignment="1">
      <alignment horizontal="center"/>
    </xf>
    <xf numFmtId="11" fontId="0" fillId="2" borderId="0" xfId="0" quotePrefix="1" applyNumberFormat="1" applyFill="1" applyBorder="1" applyAlignment="1">
      <alignment horizontal="center"/>
    </xf>
    <xf numFmtId="164" fontId="2" fillId="3" borderId="0" xfId="0" applyNumberFormat="1" applyFont="1" applyFill="1" applyBorder="1" applyAlignment="1">
      <alignment horizontal="center"/>
    </xf>
    <xf numFmtId="11" fontId="1" fillId="3" borderId="0" xfId="0" applyNumberFormat="1" applyFont="1" applyFill="1" applyBorder="1" applyAlignment="1">
      <alignment horizontal="center" wrapText="1"/>
    </xf>
    <xf numFmtId="0" fontId="0" fillId="3" borderId="0" xfId="0" applyFill="1" applyBorder="1" applyAlignment="1">
      <alignment horizontal="center"/>
    </xf>
    <xf numFmtId="11" fontId="0" fillId="3" borderId="0" xfId="0" applyNumberFormat="1" applyFill="1" applyBorder="1" applyAlignment="1">
      <alignment horizontal="center"/>
    </xf>
    <xf numFmtId="164" fontId="2" fillId="4" borderId="0" xfId="0" applyNumberFormat="1" applyFont="1" applyFill="1" applyBorder="1" applyAlignment="1">
      <alignment horizontal="center"/>
    </xf>
    <xf numFmtId="11" fontId="0" fillId="4" borderId="0" xfId="0" applyNumberFormat="1" applyFill="1" applyBorder="1" applyAlignment="1">
      <alignment horizontal="center"/>
    </xf>
    <xf numFmtId="11" fontId="0" fillId="4" borderId="0" xfId="0" applyNumberFormat="1" applyFill="1" applyBorder="1" applyAlignment="1">
      <alignment horizontal="center" vertical="center" wrapText="1"/>
    </xf>
    <xf numFmtId="11" fontId="1" fillId="4" borderId="0" xfId="0" applyNumberFormat="1" applyFont="1" applyFill="1" applyBorder="1" applyAlignment="1">
      <alignment horizontal="center" wrapText="1"/>
    </xf>
    <xf numFmtId="11" fontId="0" fillId="4" borderId="0" xfId="0" applyNumberFormat="1" applyFill="1" applyBorder="1"/>
    <xf numFmtId="0" fontId="0" fillId="4" borderId="0" xfId="0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 vertical="center" wrapText="1"/>
    </xf>
    <xf numFmtId="164" fontId="1" fillId="4" borderId="0" xfId="0" applyNumberFormat="1" applyFont="1" applyFill="1" applyBorder="1" applyAlignment="1">
      <alignment horizontal="center" wrapText="1"/>
    </xf>
    <xf numFmtId="164" fontId="2" fillId="5" borderId="0" xfId="0" applyNumberFormat="1" applyFont="1" applyFill="1" applyBorder="1" applyAlignment="1">
      <alignment horizontal="center"/>
    </xf>
    <xf numFmtId="167" fontId="0" fillId="5" borderId="0" xfId="0" applyNumberFormat="1" applyFill="1" applyBorder="1" applyAlignment="1">
      <alignment horizontal="center"/>
    </xf>
    <xf numFmtId="0" fontId="2" fillId="6" borderId="0" xfId="0" applyFont="1" applyFill="1" applyBorder="1" applyAlignment="1">
      <alignment horizontal="center"/>
    </xf>
    <xf numFmtId="167" fontId="0" fillId="6" borderId="0" xfId="0" applyNumberFormat="1" applyFill="1" applyBorder="1" applyAlignment="1">
      <alignment horizontal="center"/>
    </xf>
    <xf numFmtId="168" fontId="0" fillId="0" borderId="0" xfId="0" applyNumberFormat="1" applyFill="1"/>
    <xf numFmtId="2" fontId="0" fillId="0" borderId="0" xfId="0" applyNumberFormat="1" applyFill="1" applyBorder="1" applyAlignment="1">
      <alignment horizontal="center"/>
    </xf>
    <xf numFmtId="0" fontId="0" fillId="5" borderId="0" xfId="0" applyFill="1"/>
    <xf numFmtId="164" fontId="2" fillId="7" borderId="0" xfId="0" applyNumberFormat="1" applyFont="1" applyFill="1" applyBorder="1" applyAlignment="1">
      <alignment horizontal="center"/>
    </xf>
    <xf numFmtId="11" fontId="0" fillId="7" borderId="0" xfId="0" applyNumberFormat="1" applyFill="1" applyBorder="1" applyAlignment="1">
      <alignment horizontal="center"/>
    </xf>
    <xf numFmtId="164" fontId="2" fillId="8" borderId="0" xfId="0" applyNumberFormat="1" applyFont="1" applyFill="1" applyBorder="1" applyAlignment="1">
      <alignment horizontal="center"/>
    </xf>
    <xf numFmtId="11" fontId="0" fillId="8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CEE2E-5EDE-4B5A-8DAE-CC0EBEB3BD0A}">
  <dimension ref="A1:S23"/>
  <sheetViews>
    <sheetView tabSelected="1" zoomScale="85" zoomScaleNormal="85" workbookViewId="0">
      <selection activeCell="E15" sqref="E15"/>
    </sheetView>
  </sheetViews>
  <sheetFormatPr baseColWidth="10" defaultRowHeight="14.4" x14ac:dyDescent="0.3"/>
  <cols>
    <col min="1" max="1" width="8.44140625" customWidth="1"/>
    <col min="15" max="15" width="18.6640625" customWidth="1"/>
    <col min="16" max="16" width="11.77734375" customWidth="1"/>
    <col min="17" max="17" width="12.109375" customWidth="1"/>
  </cols>
  <sheetData>
    <row r="1" spans="1:19" x14ac:dyDescent="0.3">
      <c r="A1" s="7" t="s">
        <v>0</v>
      </c>
      <c r="B1" s="20" t="s">
        <v>5</v>
      </c>
      <c r="C1" s="20" t="s">
        <v>7</v>
      </c>
      <c r="D1" s="20" t="s">
        <v>6</v>
      </c>
      <c r="E1" s="23" t="s">
        <v>19</v>
      </c>
      <c r="F1" s="23" t="s">
        <v>21</v>
      </c>
      <c r="G1" s="23" t="s">
        <v>22</v>
      </c>
      <c r="H1" s="23" t="s">
        <v>23</v>
      </c>
      <c r="I1" s="27" t="s">
        <v>8</v>
      </c>
      <c r="J1" s="27" t="s">
        <v>9</v>
      </c>
      <c r="K1" s="27" t="s">
        <v>10</v>
      </c>
      <c r="L1" s="27" t="s">
        <v>11</v>
      </c>
      <c r="M1" s="16" t="s">
        <v>3</v>
      </c>
      <c r="N1" s="8" t="s">
        <v>20</v>
      </c>
      <c r="O1" s="8" t="s">
        <v>14</v>
      </c>
      <c r="P1" s="8" t="s">
        <v>15</v>
      </c>
      <c r="Q1" s="8" t="s">
        <v>30</v>
      </c>
      <c r="R1" s="15" t="s">
        <v>31</v>
      </c>
      <c r="S1" s="18" t="s">
        <v>32</v>
      </c>
    </row>
    <row r="2" spans="1:19" x14ac:dyDescent="0.3">
      <c r="A2" s="4">
        <v>1</v>
      </c>
      <c r="B2" s="21">
        <v>6.6660000000000001E-3</v>
      </c>
      <c r="C2" s="21">
        <v>6.6660000000000001E-3</v>
      </c>
      <c r="D2" s="22"/>
      <c r="E2" s="24">
        <v>4.4999999999999998E-2</v>
      </c>
      <c r="F2" s="24">
        <v>1.4E-3</v>
      </c>
      <c r="G2" s="24">
        <v>6.1000000000000004E-3</v>
      </c>
      <c r="H2" s="25"/>
      <c r="I2" s="28">
        <v>0.81820000000000004</v>
      </c>
      <c r="J2" s="29">
        <v>0.18920000000000001</v>
      </c>
      <c r="K2" s="30">
        <v>0.50490000000000002</v>
      </c>
      <c r="L2" s="28"/>
      <c r="M2" s="17">
        <v>0.38584698117819599</v>
      </c>
      <c r="N2" s="9">
        <f>ABS(1/I2)*F2+ABS(1/I2)*G2+ABS((J2-K2)/(I2^2))*E2</f>
        <v>3.0387575352015174E-2</v>
      </c>
      <c r="O2" s="10">
        <f>1/2*B2*I2^2</f>
        <v>2.2312809829200006E-3</v>
      </c>
      <c r="P2" s="10">
        <f>1/2*B2*J2^2+1/2*C2*K2^2</f>
        <v>9.6897192645000016E-4</v>
      </c>
      <c r="Q2" s="10">
        <f>-P2+O2</f>
        <v>1.2623090564700004E-3</v>
      </c>
      <c r="R2" s="10">
        <f>(1-M2^2)*B2*C2*I2^2/(2*(B2+C2))</f>
        <v>9.4954628587500033E-4</v>
      </c>
      <c r="S2" s="2">
        <f>(Q2-R2)/R2*100</f>
        <v>32.938127950949898</v>
      </c>
    </row>
    <row r="3" spans="1:19" x14ac:dyDescent="0.3">
      <c r="A3" s="4">
        <v>2</v>
      </c>
      <c r="B3" s="21">
        <v>0.02</v>
      </c>
      <c r="C3" s="21">
        <v>0.02</v>
      </c>
      <c r="D3" s="22"/>
      <c r="E3" s="24">
        <v>2.5999999999999999E-2</v>
      </c>
      <c r="F3" s="24">
        <v>5.7999999999999996E-3</v>
      </c>
      <c r="G3" s="24">
        <v>9.4999999999999998E-3</v>
      </c>
      <c r="H3" s="25"/>
      <c r="I3" s="28">
        <v>0.96579999999999999</v>
      </c>
      <c r="J3" s="31">
        <v>0.19700988317190199</v>
      </c>
      <c r="K3" s="28">
        <v>0.49149999999999999</v>
      </c>
      <c r="L3" s="28"/>
      <c r="M3" s="17">
        <v>0.30491832349150755</v>
      </c>
      <c r="N3" s="9">
        <f>ABS(1/I3)*F3+ABS(1/I3)*G3+ABS((J3-K3)/(I3^2))*E3</f>
        <v>2.4050400093993785E-2</v>
      </c>
      <c r="O3" s="10">
        <f>1/2*B3*I3^2</f>
        <v>9.3276964E-3</v>
      </c>
      <c r="P3" s="10">
        <f>1/2*B3*J3^2+1/2*C3*K3^2</f>
        <v>2.8038514406740649E-3</v>
      </c>
      <c r="Q3" s="10">
        <f>-P3+O3</f>
        <v>6.5238449593259355E-3</v>
      </c>
      <c r="R3" s="10">
        <f t="shared" ref="R3:R6" si="0">(1-M3^2)*B3*C3*I3^2/(2*(B3+C3))</f>
        <v>4.2302260554528655E-3</v>
      </c>
      <c r="S3" s="2">
        <f>(Q3-R3)/R3*100</f>
        <v>54.219771563189603</v>
      </c>
    </row>
    <row r="4" spans="1:19" x14ac:dyDescent="0.3">
      <c r="A4" s="5">
        <v>3</v>
      </c>
      <c r="B4" s="21">
        <v>0.02</v>
      </c>
      <c r="C4" s="21">
        <v>6.6660000000000001E-3</v>
      </c>
      <c r="D4" s="22"/>
      <c r="E4" s="24">
        <v>2E-3</v>
      </c>
      <c r="F4" s="24">
        <v>2.7000000000000001E-3</v>
      </c>
      <c r="G4" s="24">
        <v>5.1999999999999998E-3</v>
      </c>
      <c r="H4" s="25"/>
      <c r="I4" s="28">
        <v>0.45900000000000002</v>
      </c>
      <c r="J4" s="28">
        <v>0.29409999999999997</v>
      </c>
      <c r="K4" s="28">
        <v>0.37580000000000002</v>
      </c>
      <c r="L4" s="28"/>
      <c r="M4" s="17">
        <v>0.17799564270152515</v>
      </c>
      <c r="N4" s="9">
        <f>ABS(1/I4)*F4+ABS(1/I4)*G4+ABS((J4-K4)/(I4^2))*E4</f>
        <v>1.7986909118525161E-2</v>
      </c>
      <c r="O4" s="10">
        <f>1/2*B4*I4^2</f>
        <v>2.1068100000000002E-3</v>
      </c>
      <c r="P4" s="10">
        <f>1/2*B4*J4^2+1/2*C4*K4^2</f>
        <v>1.3356531581199997E-3</v>
      </c>
      <c r="Q4" s="10">
        <f>-P4+O4</f>
        <v>7.7115684188000045E-4</v>
      </c>
      <c r="R4" s="10">
        <f t="shared" si="0"/>
        <v>5.0997702289807244E-4</v>
      </c>
      <c r="S4" s="2">
        <f>(Q4-R4)/R4*100</f>
        <v>51.214036565355073</v>
      </c>
    </row>
    <row r="5" spans="1:19" x14ac:dyDescent="0.3">
      <c r="A5" s="1">
        <v>4</v>
      </c>
      <c r="B5" s="21">
        <v>6.6660000000000001E-3</v>
      </c>
      <c r="C5" s="21">
        <v>0.02</v>
      </c>
      <c r="D5" s="22"/>
      <c r="E5" s="24">
        <v>3.2000000000000001E-2</v>
      </c>
      <c r="F5" s="24">
        <v>3.1E-2</v>
      </c>
      <c r="G5" s="24">
        <v>3.7000000000000002E-3</v>
      </c>
      <c r="H5" s="25"/>
      <c r="I5" s="28">
        <v>1.2669999999999999</v>
      </c>
      <c r="J5" s="28">
        <v>-0.40250000000000002</v>
      </c>
      <c r="K5" s="28">
        <v>0.27250000000000002</v>
      </c>
      <c r="L5" s="28"/>
      <c r="M5" s="17">
        <v>0.53275453827940022</v>
      </c>
      <c r="N5" s="9">
        <f>ABS(1/I5)*F5+ABS(1/I5)*G5+ABS((J5-K5)/(I5^2))*E5</f>
        <v>4.0843050690561017E-2</v>
      </c>
      <c r="O5" s="10">
        <f>1/2*B5*I5^2</f>
        <v>5.3504282369999994E-3</v>
      </c>
      <c r="P5" s="10">
        <f>1/2*B5*J5^2+1/2*C5*K5^2</f>
        <v>1.2825293312500002E-3</v>
      </c>
      <c r="Q5" s="10">
        <f>-P5+O5</f>
        <v>4.0678989057499997E-3</v>
      </c>
      <c r="R5" s="10">
        <f t="shared" si="0"/>
        <v>2.8739444326108142E-3</v>
      </c>
      <c r="S5" s="2">
        <f>(Q5-R5)/R5*100</f>
        <v>41.544104318486987</v>
      </c>
    </row>
    <row r="6" spans="1:19" x14ac:dyDescent="0.3">
      <c r="A6" s="4">
        <v>5</v>
      </c>
      <c r="B6" s="21">
        <v>6.6660000000000001E-3</v>
      </c>
      <c r="C6" s="21">
        <v>6.6660000000000001E-3</v>
      </c>
      <c r="D6" s="21">
        <v>6.6660000000000001E-3</v>
      </c>
      <c r="E6" s="24">
        <v>2.8999999999999998E-3</v>
      </c>
      <c r="F6" s="24">
        <v>6.9999999999999999E-4</v>
      </c>
      <c r="G6" s="24">
        <v>5.4000000000000003E-3</v>
      </c>
      <c r="H6" s="24">
        <v>1.6000000000000001E-4</v>
      </c>
      <c r="I6" s="28">
        <v>0.36670000000000003</v>
      </c>
      <c r="J6" s="28">
        <v>2.7884373529604701E-2</v>
      </c>
      <c r="K6" s="28">
        <v>2.5723222694207799E-2</v>
      </c>
      <c r="L6" s="28">
        <v>0.228242275653223</v>
      </c>
      <c r="M6" s="17">
        <v>0.54638097115794459</v>
      </c>
      <c r="N6" s="9">
        <f>ABS(1/I6)*F6+ABS(1/I6)*G6+ABS((J6-K6)/(I6^2))*E6</f>
        <v>1.6681459461907144E-2</v>
      </c>
      <c r="O6" s="10">
        <f>1/2*B6*I6^2</f>
        <v>4.4818481037000002E-4</v>
      </c>
      <c r="P6" s="10">
        <f>1/2*B6*J6^2+1/2*C6*K6^2+1/2*D6*L6^2</f>
        <v>1.7842801830796444E-4</v>
      </c>
      <c r="Q6" s="10">
        <f>-P6+O6</f>
        <v>2.6975679206203554E-4</v>
      </c>
      <c r="R6" s="10">
        <f t="shared" si="0"/>
        <v>1.5719361416086154E-4</v>
      </c>
      <c r="S6" s="2">
        <f>(Q6-R6)/R6*100</f>
        <v>71.607983887935987</v>
      </c>
    </row>
    <row r="7" spans="1:19" x14ac:dyDescent="0.3">
      <c r="A7" s="6"/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</row>
    <row r="8" spans="1:19" x14ac:dyDescent="0.3">
      <c r="A8" s="6"/>
      <c r="B8" s="12"/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3"/>
    </row>
    <row r="9" spans="1:19" x14ac:dyDescent="0.3">
      <c r="A9" s="7" t="s">
        <v>0</v>
      </c>
      <c r="B9" s="20" t="s">
        <v>5</v>
      </c>
      <c r="C9" s="20" t="s">
        <v>7</v>
      </c>
      <c r="D9" s="20" t="s">
        <v>6</v>
      </c>
      <c r="E9" s="23" t="s">
        <v>16</v>
      </c>
      <c r="F9" s="23" t="s">
        <v>17</v>
      </c>
      <c r="G9" s="23" t="s">
        <v>18</v>
      </c>
      <c r="H9" s="23" t="s">
        <v>19</v>
      </c>
      <c r="I9" s="27" t="s">
        <v>21</v>
      </c>
      <c r="J9" s="27" t="s">
        <v>22</v>
      </c>
      <c r="K9" s="27" t="s">
        <v>23</v>
      </c>
      <c r="L9" s="27" t="s">
        <v>8</v>
      </c>
      <c r="M9" s="27" t="s">
        <v>9</v>
      </c>
      <c r="N9" s="27" t="s">
        <v>10</v>
      </c>
      <c r="O9" s="27" t="s">
        <v>11</v>
      </c>
      <c r="P9" s="16"/>
      <c r="Q9" s="8"/>
    </row>
    <row r="10" spans="1:19" x14ac:dyDescent="0.3">
      <c r="A10" s="4">
        <v>1</v>
      </c>
      <c r="B10" s="21">
        <v>6.6660000000000001E-3</v>
      </c>
      <c r="C10" s="21">
        <v>6.6660000000000001E-3</v>
      </c>
      <c r="D10" s="22"/>
      <c r="E10" s="26">
        <v>1E-4</v>
      </c>
      <c r="F10" s="26">
        <v>1E-4</v>
      </c>
      <c r="G10" s="26"/>
      <c r="H10" s="24">
        <v>4.4999999999999998E-2</v>
      </c>
      <c r="I10" s="30">
        <v>1.4E-3</v>
      </c>
      <c r="J10" s="30">
        <v>6.1000000000000004E-3</v>
      </c>
      <c r="K10" s="32"/>
      <c r="L10" s="33">
        <v>0.81820000000000004</v>
      </c>
      <c r="M10" s="34">
        <v>0.18920000000000001</v>
      </c>
      <c r="N10" s="35">
        <v>0.50490000000000002</v>
      </c>
      <c r="O10" s="33"/>
      <c r="P10" s="17"/>
      <c r="Q10" s="9"/>
    </row>
    <row r="11" spans="1:19" x14ac:dyDescent="0.3">
      <c r="A11" s="4">
        <v>2</v>
      </c>
      <c r="B11" s="21">
        <v>0.02</v>
      </c>
      <c r="C11" s="21">
        <v>0.02</v>
      </c>
      <c r="D11" s="22"/>
      <c r="E11" s="26">
        <v>1E-4</v>
      </c>
      <c r="F11" s="26">
        <v>1E-4</v>
      </c>
      <c r="G11" s="26"/>
      <c r="H11" s="24">
        <v>2.5999999999999999E-2</v>
      </c>
      <c r="I11" s="30">
        <v>5.7999999999999996E-3</v>
      </c>
      <c r="J11" s="30">
        <v>9.4999999999999998E-3</v>
      </c>
      <c r="K11" s="32"/>
      <c r="L11" s="33">
        <v>0.96579999999999999</v>
      </c>
      <c r="M11" s="31">
        <v>0.19700988317190199</v>
      </c>
      <c r="N11" s="33">
        <v>0.49149999999999999</v>
      </c>
      <c r="O11" s="33"/>
      <c r="P11" s="17"/>
      <c r="Q11" s="9"/>
    </row>
    <row r="12" spans="1:19" x14ac:dyDescent="0.3">
      <c r="A12" s="5">
        <v>3</v>
      </c>
      <c r="B12" s="21">
        <v>0.02</v>
      </c>
      <c r="C12" s="21">
        <v>6.6660000000000001E-3</v>
      </c>
      <c r="D12" s="22"/>
      <c r="E12" s="26">
        <v>1E-4</v>
      </c>
      <c r="F12" s="26">
        <v>1E-4</v>
      </c>
      <c r="G12" s="26"/>
      <c r="H12" s="24">
        <v>2E-3</v>
      </c>
      <c r="I12" s="30">
        <v>2.7000000000000001E-3</v>
      </c>
      <c r="J12" s="30">
        <v>5.1999999999999998E-3</v>
      </c>
      <c r="K12" s="32"/>
      <c r="L12" s="32">
        <v>0.45900000000000002</v>
      </c>
      <c r="M12" s="32">
        <v>0.29409999999999997</v>
      </c>
      <c r="N12" s="32">
        <v>0.37580000000000002</v>
      </c>
      <c r="O12" s="33"/>
      <c r="P12" s="17"/>
      <c r="Q12" s="9"/>
    </row>
    <row r="13" spans="1:19" x14ac:dyDescent="0.3">
      <c r="A13" s="1">
        <v>4</v>
      </c>
      <c r="B13" s="21">
        <v>6.6660000000000001E-3</v>
      </c>
      <c r="C13" s="21">
        <v>0.02</v>
      </c>
      <c r="D13" s="22"/>
      <c r="E13" s="26">
        <v>1E-4</v>
      </c>
      <c r="F13" s="26">
        <v>1E-4</v>
      </c>
      <c r="G13" s="26"/>
      <c r="H13" s="24">
        <v>3.2000000000000001E-2</v>
      </c>
      <c r="I13" s="30">
        <v>3.1E-2</v>
      </c>
      <c r="J13" s="30">
        <v>3.7000000000000002E-3</v>
      </c>
      <c r="K13" s="32"/>
      <c r="L13" s="32">
        <v>1.2669999999999999</v>
      </c>
      <c r="M13" s="32">
        <v>-0.40250000000000002</v>
      </c>
      <c r="N13" s="32">
        <v>0.27250000000000002</v>
      </c>
      <c r="O13" s="33"/>
      <c r="P13" s="17"/>
      <c r="Q13" s="9"/>
    </row>
    <row r="14" spans="1:19" x14ac:dyDescent="0.3">
      <c r="A14" s="4">
        <v>5</v>
      </c>
      <c r="B14" s="21">
        <v>6.6660000000000001E-3</v>
      </c>
      <c r="C14" s="21">
        <v>6.6660000000000001E-3</v>
      </c>
      <c r="D14" s="21">
        <v>6.6660000000000001E-3</v>
      </c>
      <c r="E14" s="26">
        <v>1E-4</v>
      </c>
      <c r="F14" s="26">
        <v>1E-4</v>
      </c>
      <c r="G14" s="26">
        <v>1E-4</v>
      </c>
      <c r="H14" s="24">
        <v>2.8999999999999998E-3</v>
      </c>
      <c r="I14" s="30">
        <v>6.9999999999999999E-4</v>
      </c>
      <c r="J14" s="30">
        <v>5.4000000000000003E-3</v>
      </c>
      <c r="K14" s="30">
        <v>1.6000000000000001E-4</v>
      </c>
      <c r="L14" s="32">
        <v>0.36670000000000003</v>
      </c>
      <c r="M14" s="32">
        <v>2.7884373529604701E-2</v>
      </c>
      <c r="N14" s="32">
        <v>2.5723222694207799E-2</v>
      </c>
      <c r="O14" s="32">
        <v>0.228242275653223</v>
      </c>
      <c r="P14" s="17"/>
      <c r="Q14" s="9"/>
    </row>
    <row r="15" spans="1:19" x14ac:dyDescent="0.3">
      <c r="A15" s="6"/>
      <c r="B15" s="12"/>
      <c r="C15" s="12"/>
      <c r="D15" s="12"/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</row>
    <row r="16" spans="1:19" x14ac:dyDescent="0.3">
      <c r="A16" s="6"/>
      <c r="B16" s="12"/>
      <c r="C16" s="12"/>
      <c r="D16" s="12"/>
      <c r="E16" s="10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</row>
    <row r="17" spans="1:16" x14ac:dyDescent="0.3">
      <c r="A17" s="7" t="s">
        <v>0</v>
      </c>
      <c r="B17" s="36" t="s">
        <v>12</v>
      </c>
      <c r="C17" s="36" t="s">
        <v>13</v>
      </c>
      <c r="D17" s="38" t="s">
        <v>14</v>
      </c>
      <c r="E17" s="38" t="s">
        <v>15</v>
      </c>
      <c r="F17" s="8" t="s">
        <v>1</v>
      </c>
      <c r="G17" s="8" t="s">
        <v>2</v>
      </c>
      <c r="H17" s="13" t="s">
        <v>24</v>
      </c>
      <c r="I17" s="13" t="s">
        <v>25</v>
      </c>
      <c r="J17" s="13" t="s">
        <v>26</v>
      </c>
      <c r="K17" s="13" t="s">
        <v>28</v>
      </c>
      <c r="L17" s="13" t="s">
        <v>29</v>
      </c>
      <c r="M17" s="13" t="s">
        <v>27</v>
      </c>
      <c r="N17" s="9"/>
      <c r="O17" s="12"/>
      <c r="P17" s="12"/>
    </row>
    <row r="18" spans="1:16" x14ac:dyDescent="0.3">
      <c r="A18" s="4">
        <v>1</v>
      </c>
      <c r="B18" s="37">
        <v>5.4541212000000002E-3</v>
      </c>
      <c r="C18" s="37">
        <v>4.6268706000000001E-3</v>
      </c>
      <c r="D18" s="39">
        <v>2.2312809829200006E-3</v>
      </c>
      <c r="E18" s="39">
        <v>9.6897192645000016E-4</v>
      </c>
      <c r="F18" s="11">
        <v>15.167440723539476</v>
      </c>
      <c r="G18" s="11">
        <v>56.573289788812708</v>
      </c>
      <c r="H18" s="10">
        <f>ABS(L10)*E10+ABS(B10)*H10</f>
        <v>3.8179000000000002E-4</v>
      </c>
      <c r="I18" s="10">
        <f>B10*I10+C10*J10+M10*E10+N10*F10</f>
        <v>1.1940500000000003E-4</v>
      </c>
      <c r="J18" s="14">
        <f>ABS(100/B18)*I18+ABS(C18/(B18^2)*100)*H18</f>
        <v>8.1275646764431766</v>
      </c>
      <c r="K18" s="10">
        <f>1/2*L10^2*E10+ABS(B10*L10)*H10</f>
        <v>2.7890801600000001E-4</v>
      </c>
      <c r="L18" s="10">
        <f>1/2*M10^2*E10+1/2*N10^2*F10+ABS(B10*M10)*I10+ABS(C10*N10)*J10</f>
        <v>3.6832269320000006E-5</v>
      </c>
      <c r="M18" s="14">
        <f>ABS(100/D18)*L18+ABS(E18/(D18^2)*100)*K18</f>
        <v>7.079020813299115</v>
      </c>
      <c r="N18" s="12"/>
      <c r="O18" s="12"/>
      <c r="P18" s="12"/>
    </row>
    <row r="19" spans="1:16" x14ac:dyDescent="0.3">
      <c r="A19" s="4">
        <v>2</v>
      </c>
      <c r="B19" s="37">
        <v>1.9316E-2</v>
      </c>
      <c r="C19" s="37">
        <v>1.9065000430470123E-2</v>
      </c>
      <c r="D19" s="39">
        <v>9.3276964E-3</v>
      </c>
      <c r="E19" s="39">
        <v>4.5478533237695833E-3</v>
      </c>
      <c r="F19" s="11">
        <v>1.2994386494609462</v>
      </c>
      <c r="G19" s="11">
        <v>51.243553298222878</v>
      </c>
      <c r="H19" s="10">
        <f>ABS(L11)*E11+ABS(B11)*H11</f>
        <v>6.1657999999999993E-4</v>
      </c>
      <c r="I19" s="10">
        <f t="shared" ref="I19:I21" si="1">B11*I11+C11*J11+M11*E11+N11*F11</f>
        <v>3.7485098831719016E-4</v>
      </c>
      <c r="J19" s="14">
        <f t="shared" ref="J19:J22" si="2">ABS(100/B19)*I19+ABS(C19/(B19^2)*100)*H19</f>
        <v>5.0912140686081164</v>
      </c>
      <c r="K19" s="10">
        <f t="shared" ref="K19:K22" si="3">1/2*L11^2*E11+ABS(B11*L11)*H11</f>
        <v>5.4885448200000001E-4</v>
      </c>
      <c r="L19" s="10">
        <f t="shared" ref="L19:L21" si="4">1/2*M11^2*E11+1/2*N11^2*F11+ABS(B11*M11)*I11+ABS(C11*N11)*J11</f>
        <v>1.3025740365131094E-4</v>
      </c>
      <c r="M19" s="14">
        <f t="shared" ref="M19:M22" si="5">ABS(100/D19)*L19+ABS(E19/(D19^2)*100)*K19</f>
        <v>4.2653548054796886</v>
      </c>
      <c r="N19" s="12"/>
      <c r="O19" s="12"/>
      <c r="P19" s="12"/>
    </row>
    <row r="20" spans="1:16" x14ac:dyDescent="0.3">
      <c r="A20" s="5">
        <v>3</v>
      </c>
      <c r="B20" s="37">
        <v>9.1800000000000007E-3</v>
      </c>
      <c r="C20" s="37">
        <v>8.3870827999999991E-3</v>
      </c>
      <c r="D20" s="39">
        <v>2.1068100000000002E-3</v>
      </c>
      <c r="E20" s="39">
        <v>1.3356531581199997E-3</v>
      </c>
      <c r="F20" s="11">
        <v>8.6374422657952223</v>
      </c>
      <c r="G20" s="11">
        <v>36.603055893981917</v>
      </c>
      <c r="H20" s="10">
        <f>ABS(L12)*E12+ABS(B12)*H12</f>
        <v>8.5900000000000001E-5</v>
      </c>
      <c r="I20" s="10">
        <f t="shared" si="1"/>
        <v>1.556532E-4</v>
      </c>
      <c r="J20" s="14">
        <f t="shared" si="2"/>
        <v>2.5504753496043779</v>
      </c>
      <c r="K20" s="10">
        <f t="shared" si="3"/>
        <v>2.8894050000000002E-5</v>
      </c>
      <c r="L20" s="10">
        <f t="shared" si="4"/>
        <v>4.0293853060000001E-5</v>
      </c>
      <c r="M20" s="14">
        <f t="shared" si="5"/>
        <v>2.7820163084694354</v>
      </c>
      <c r="N20" s="12"/>
      <c r="O20" s="12"/>
      <c r="P20" s="12"/>
    </row>
    <row r="21" spans="1:16" x14ac:dyDescent="0.3">
      <c r="A21" s="1">
        <v>4</v>
      </c>
      <c r="B21" s="37">
        <v>8.4458219999999987E-3</v>
      </c>
      <c r="C21" s="37">
        <v>2.7669350000000007E-3</v>
      </c>
      <c r="D21" s="39">
        <v>5.3504282369999994E-3</v>
      </c>
      <c r="E21" s="39">
        <v>1.2825293312500002E-3</v>
      </c>
      <c r="F21" s="11">
        <v>67.239008825902317</v>
      </c>
      <c r="G21" s="11">
        <v>76.029407844761266</v>
      </c>
      <c r="H21" s="10">
        <f>ABS(L13)*E13+ABS(B13)*H13</f>
        <v>3.40012E-4</v>
      </c>
      <c r="I21" s="10">
        <f t="shared" si="1"/>
        <v>2.6764600000000002E-4</v>
      </c>
      <c r="J21" s="14">
        <f t="shared" si="2"/>
        <v>4.4878675078739887</v>
      </c>
      <c r="K21" s="10">
        <f t="shared" si="3"/>
        <v>3.5053075399999996E-4</v>
      </c>
      <c r="L21" s="10">
        <f t="shared" si="4"/>
        <v>1.1515314000000001E-4</v>
      </c>
      <c r="M21" s="14">
        <f t="shared" si="5"/>
        <v>3.7226447790224464</v>
      </c>
      <c r="N21" s="12"/>
      <c r="O21" s="12"/>
      <c r="P21" s="12"/>
    </row>
    <row r="22" spans="1:16" x14ac:dyDescent="0.3">
      <c r="A22" s="4">
        <v>5</v>
      </c>
      <c r="B22" s="37">
        <v>2.4444222E-3</v>
      </c>
      <c r="C22" s="37">
        <v>1.8788112459323185E-3</v>
      </c>
      <c r="D22" s="39">
        <v>4.4818481037000002E-4</v>
      </c>
      <c r="E22" s="39">
        <v>1.7842801830796444E-4</v>
      </c>
      <c r="F22" s="11">
        <v>23.138840502580997</v>
      </c>
      <c r="G22" s="11">
        <v>60.188740408077912</v>
      </c>
      <c r="H22" s="10">
        <f>ABS(L14)*E14+ABS(B14)*H14</f>
        <v>5.6001400000000009E-5</v>
      </c>
      <c r="I22" s="10">
        <f>B14*I14+C14*J14+M14*E14+N14*F14+D14*K14+O14*G14</f>
        <v>6.9914147187703549E-5</v>
      </c>
      <c r="J22" s="14">
        <f t="shared" si="2"/>
        <v>4.6210295652891373</v>
      </c>
      <c r="K22" s="10">
        <f t="shared" si="3"/>
        <v>1.381226888E-5</v>
      </c>
      <c r="L22" s="10">
        <f>1/2*M14^2*E14+1/2*N14^2*F14+1/2*O14^2*G14+ABS(B14*M14)*I14+ABS(C14*N14)*J14+ABS(D14*O14)*K14</f>
        <v>3.9761795020881326E-6</v>
      </c>
      <c r="M22" s="14">
        <f t="shared" si="5"/>
        <v>2.1140872029145923</v>
      </c>
      <c r="N22" s="12"/>
      <c r="O22" s="12"/>
      <c r="P22" s="12"/>
    </row>
    <row r="23" spans="1:16" x14ac:dyDescent="0.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A939E-2E5D-4350-BBBE-DC56C73FF52A}">
  <dimension ref="A1:W6"/>
  <sheetViews>
    <sheetView workbookViewId="0">
      <selection activeCell="C11" sqref="C11"/>
    </sheetView>
  </sheetViews>
  <sheetFormatPr baseColWidth="10" defaultRowHeight="14.4" x14ac:dyDescent="0.3"/>
  <cols>
    <col min="15" max="15" width="13.5546875" customWidth="1"/>
    <col min="16" max="16" width="13.77734375" customWidth="1"/>
    <col min="17" max="17" width="13.5546875" bestFit="1" customWidth="1"/>
  </cols>
  <sheetData>
    <row r="1" spans="1:23" x14ac:dyDescent="0.3">
      <c r="A1" s="7" t="s">
        <v>0</v>
      </c>
      <c r="B1" s="20" t="s">
        <v>5</v>
      </c>
      <c r="C1" s="20" t="s">
        <v>7</v>
      </c>
      <c r="D1" s="20" t="s">
        <v>6</v>
      </c>
      <c r="E1" s="36" t="s">
        <v>33</v>
      </c>
      <c r="F1" s="36" t="s">
        <v>35</v>
      </c>
      <c r="G1" s="36" t="s">
        <v>34</v>
      </c>
      <c r="H1" s="27" t="s">
        <v>8</v>
      </c>
      <c r="I1" s="27" t="s">
        <v>9</v>
      </c>
      <c r="J1" s="27" t="s">
        <v>10</v>
      </c>
      <c r="K1" s="27" t="s">
        <v>11</v>
      </c>
      <c r="L1" s="43" t="s">
        <v>12</v>
      </c>
      <c r="M1" s="43" t="s">
        <v>13</v>
      </c>
      <c r="N1" s="8" t="s">
        <v>1</v>
      </c>
      <c r="O1" s="45" t="s">
        <v>36</v>
      </c>
      <c r="P1" s="45" t="s">
        <v>37</v>
      </c>
      <c r="Q1" s="18" t="s">
        <v>4</v>
      </c>
      <c r="R1" s="8"/>
      <c r="S1" s="8"/>
      <c r="T1" s="8"/>
      <c r="U1" s="8"/>
      <c r="V1" s="15"/>
      <c r="W1" s="18"/>
    </row>
    <row r="2" spans="1:23" x14ac:dyDescent="0.3">
      <c r="A2" s="4">
        <v>1</v>
      </c>
      <c r="B2" s="21">
        <v>6.6660000000000001E-3</v>
      </c>
      <c r="C2" s="21">
        <v>6.6660000000000001E-3</v>
      </c>
      <c r="D2" s="22"/>
      <c r="E2" s="42">
        <f>0.75/100</f>
        <v>7.4999999999999997E-3</v>
      </c>
      <c r="F2" s="42">
        <f>0.75/100</f>
        <v>7.4999999999999997E-3</v>
      </c>
      <c r="G2" s="42"/>
      <c r="H2" s="28">
        <v>0.81820000000000004</v>
      </c>
      <c r="I2" s="29">
        <v>0.18920000000000001</v>
      </c>
      <c r="J2" s="30">
        <v>0.50490000000000002</v>
      </c>
      <c r="K2" s="28"/>
      <c r="L2" s="44">
        <f>B2*H2</f>
        <v>5.4541212000000002E-3</v>
      </c>
      <c r="M2" s="44">
        <f>B2*I2+C2*J2</f>
        <v>4.6268706000000001E-3</v>
      </c>
      <c r="N2" s="11">
        <f>(L2-M2)/L2*100</f>
        <v>15.167440723539476</v>
      </c>
      <c r="O2" s="46">
        <f>B2*E2*H2</f>
        <v>4.0905909000000002E-5</v>
      </c>
      <c r="P2" s="46">
        <f>B2*E2*I2+C2*F2*J2</f>
        <v>3.4701529500000004E-5</v>
      </c>
      <c r="Q2" s="19">
        <f>(O2-P2)/O2*100</f>
        <v>15.167440723539471</v>
      </c>
      <c r="R2" s="10"/>
      <c r="S2" s="10"/>
      <c r="T2" s="11"/>
      <c r="U2" s="10"/>
      <c r="V2" s="10"/>
      <c r="W2" s="2"/>
    </row>
    <row r="3" spans="1:23" x14ac:dyDescent="0.3">
      <c r="A3" s="4">
        <v>2</v>
      </c>
      <c r="B3" s="21">
        <v>0.02</v>
      </c>
      <c r="C3" s="21">
        <v>0.02</v>
      </c>
      <c r="D3" s="22"/>
      <c r="E3" s="42">
        <f>1.25/100</f>
        <v>1.2500000000000001E-2</v>
      </c>
      <c r="F3" s="42">
        <f>1.25/100</f>
        <v>1.2500000000000001E-2</v>
      </c>
      <c r="G3" s="42"/>
      <c r="H3" s="28">
        <v>0.96579999999999999</v>
      </c>
      <c r="I3" s="28">
        <v>0.46175002152350603</v>
      </c>
      <c r="J3" s="28">
        <v>0.49149999999999999</v>
      </c>
      <c r="K3" s="28"/>
      <c r="L3" s="44">
        <f>B3*H3</f>
        <v>1.9316E-2</v>
      </c>
      <c r="M3" s="44">
        <f>B3*I3+C3*J3</f>
        <v>1.9065000430470123E-2</v>
      </c>
      <c r="N3" s="11">
        <f>(L3-M3)/L3*100</f>
        <v>1.2994386494609462</v>
      </c>
      <c r="O3" s="46">
        <f t="shared" ref="O3:O5" si="0">B3*E3*H3</f>
        <v>2.4145000000000001E-4</v>
      </c>
      <c r="P3" s="46">
        <f t="shared" ref="P3:P5" si="1">B3*E3*I3+C3*F3*J3</f>
        <v>2.3831250538087649E-4</v>
      </c>
      <c r="Q3" s="40">
        <f t="shared" ref="Q3:Q6" si="2">(O3-P3)/O3*100</f>
        <v>1.2994386494609755</v>
      </c>
      <c r="R3" s="10"/>
      <c r="S3" s="10"/>
      <c r="T3" s="11"/>
      <c r="U3" s="10"/>
      <c r="V3" s="10"/>
      <c r="W3" s="2"/>
    </row>
    <row r="4" spans="1:23" x14ac:dyDescent="0.3">
      <c r="A4" s="5">
        <v>3</v>
      </c>
      <c r="B4" s="21">
        <v>0.02</v>
      </c>
      <c r="C4" s="21">
        <v>6.6660000000000001E-3</v>
      </c>
      <c r="D4" s="22"/>
      <c r="E4" s="42">
        <f>1.25/100</f>
        <v>1.2500000000000001E-2</v>
      </c>
      <c r="F4" s="42">
        <f>0.75/100</f>
        <v>7.4999999999999997E-3</v>
      </c>
      <c r="G4" s="42"/>
      <c r="H4" s="28">
        <v>0.45900000000000002</v>
      </c>
      <c r="I4" s="28">
        <f>0.32</f>
        <v>0.32</v>
      </c>
      <c r="J4" s="28">
        <f>0.28</f>
        <v>0.28000000000000003</v>
      </c>
      <c r="K4" s="28"/>
      <c r="L4" s="44">
        <f>B4*H4</f>
        <v>9.1800000000000007E-3</v>
      </c>
      <c r="M4" s="44">
        <f>B4*I4+C4*J4</f>
        <v>8.2664799999999997E-3</v>
      </c>
      <c r="N4" s="41">
        <f>(L4-M4)/L4*100</f>
        <v>9.9511982570806214</v>
      </c>
      <c r="O4" s="46">
        <f t="shared" si="0"/>
        <v>1.1475000000000001E-4</v>
      </c>
      <c r="P4" s="46">
        <f>B4*E4*I4+C4*F4*J4</f>
        <v>9.3998600000000005E-5</v>
      </c>
      <c r="Q4" s="40">
        <f>(O4-P4)/O4*100</f>
        <v>18.084008714596951</v>
      </c>
      <c r="R4" s="10"/>
      <c r="S4" s="10"/>
      <c r="T4" s="11"/>
      <c r="U4" s="10"/>
      <c r="V4" s="10"/>
      <c r="W4" s="2"/>
    </row>
    <row r="5" spans="1:23" x14ac:dyDescent="0.3">
      <c r="A5" s="1">
        <v>4</v>
      </c>
      <c r="B5" s="21">
        <v>6.6660000000000001E-3</v>
      </c>
      <c r="C5" s="21">
        <v>0.02</v>
      </c>
      <c r="D5" s="22"/>
      <c r="E5" s="42">
        <f>0.75/100</f>
        <v>7.4999999999999997E-3</v>
      </c>
      <c r="F5" s="42">
        <f>1.25/100</f>
        <v>1.2500000000000001E-2</v>
      </c>
      <c r="G5" s="42"/>
      <c r="H5" s="28">
        <v>1.2669999999999999</v>
      </c>
      <c r="I5" s="28">
        <v>-0.40250000000000002</v>
      </c>
      <c r="J5" s="28">
        <v>0.27250000000000002</v>
      </c>
      <c r="K5" s="28"/>
      <c r="L5" s="44">
        <f>B5*H5</f>
        <v>8.4458219999999987E-3</v>
      </c>
      <c r="M5" s="44">
        <f>B5*I5+C5*J5</f>
        <v>2.7669350000000007E-3</v>
      </c>
      <c r="N5" s="11">
        <f>(L5-M5)/L5*100</f>
        <v>67.239008825902317</v>
      </c>
      <c r="O5" s="46">
        <f t="shared" si="0"/>
        <v>6.3343664999999992E-5</v>
      </c>
      <c r="P5" s="46">
        <f t="shared" si="1"/>
        <v>4.8002012500000003E-5</v>
      </c>
      <c r="Q5" s="40">
        <f>(O5-P5)/O5*100</f>
        <v>24.219710842433877</v>
      </c>
      <c r="R5" s="10"/>
      <c r="S5" s="10"/>
      <c r="T5" s="11"/>
      <c r="U5" s="10"/>
      <c r="V5" s="10"/>
      <c r="W5" s="2"/>
    </row>
    <row r="6" spans="1:23" x14ac:dyDescent="0.3">
      <c r="A6" s="4">
        <v>5</v>
      </c>
      <c r="B6" s="21">
        <v>6.6660000000000001E-3</v>
      </c>
      <c r="C6" s="21">
        <v>6.6660000000000001E-3</v>
      </c>
      <c r="D6" s="21">
        <v>6.6660000000000001E-3</v>
      </c>
      <c r="E6" s="42">
        <f>0.75/100</f>
        <v>7.4999999999999997E-3</v>
      </c>
      <c r="F6" s="42">
        <f>0.75/100</f>
        <v>7.4999999999999997E-3</v>
      </c>
      <c r="G6" s="42">
        <f>0.75/100</f>
        <v>7.4999999999999997E-3</v>
      </c>
      <c r="H6" s="28">
        <v>0.36670000000000003</v>
      </c>
      <c r="I6" s="28">
        <v>2.7884373529604701E-2</v>
      </c>
      <c r="J6" s="28">
        <v>2.5723222694207799E-2</v>
      </c>
      <c r="K6" s="28">
        <v>0.228242275653223</v>
      </c>
      <c r="L6" s="44">
        <f>B6*H6</f>
        <v>2.4444222E-3</v>
      </c>
      <c r="M6" s="44">
        <f>B6*I6+C6*J6+D6*K6</f>
        <v>1.8788112459323185E-3</v>
      </c>
      <c r="N6" s="11">
        <f>(L6-M6)/L6*100</f>
        <v>23.138840502580997</v>
      </c>
      <c r="O6" s="46">
        <f>B6*E6*H6</f>
        <v>1.8333166500000001E-5</v>
      </c>
      <c r="P6" s="46">
        <f>B6*E6*I6+C6*F6*J6+D6*G6*K6</f>
        <v>1.409108434449239E-5</v>
      </c>
      <c r="Q6" s="19">
        <f t="shared" si="2"/>
        <v>23.138840502580997</v>
      </c>
      <c r="R6" s="10"/>
      <c r="S6" s="10"/>
      <c r="T6" s="11"/>
      <c r="U6" s="10"/>
      <c r="V6" s="10"/>
      <c r="W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momentum_and_kinetic_energy</vt:lpstr>
      <vt:lpstr>angular_momentum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Ferreira</dc:creator>
  <cp:lastModifiedBy>Acer</cp:lastModifiedBy>
  <dcterms:created xsi:type="dcterms:W3CDTF">2021-09-01T16:07:14Z</dcterms:created>
  <dcterms:modified xsi:type="dcterms:W3CDTF">2021-09-06T01:29:55Z</dcterms:modified>
</cp:coreProperties>
</file>